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3040" windowHeight="9275" tabRatio="500" firstSheet="2" activeTab="6"/>
  </bookViews>
  <sheets>
    <sheet name="Orientações" sheetId="1" state="hidden" r:id="rId1"/>
    <sheet name="Servente" sheetId="2" state="hidden" r:id="rId2"/>
    <sheet name="Eletricista" sheetId="7" r:id="rId3"/>
    <sheet name="Técnico Mecânico Refrigeração" sheetId="16" r:id="rId4"/>
    <sheet name="Uniformes" sheetId="12" r:id="rId5"/>
    <sheet name="EPC" sheetId="17" r:id="rId6"/>
    <sheet name="RESUMO" sheetId="13" r:id="rId7"/>
  </sheets>
  <definedNames>
    <definedName name="SalarioBase">Servente!$D$5</definedName>
    <definedName name="Salário_Normativo_da_Categoria_Profissional">Servente!$D$5</definedName>
    <definedName name="Total1">Servente!#REF!</definedName>
    <definedName name="Total2.1">Servente!#REF!</definedName>
    <definedName name="Total2.2">Servente!#REF!</definedName>
    <definedName name="Total2.3">Servente!#REF!</definedName>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s>
  <calcPr calcId="144525"/>
</workbook>
</file>

<file path=xl/comments1.xml><?xml version="1.0" encoding="utf-8"?>
<comments xmlns="http://schemas.openxmlformats.org/spreadsheetml/2006/main">
  <authors>
    <author xml:space="preserve"> </author>
  </authors>
  <commentList>
    <comment ref="G16" authorId="0">
      <text>
        <r>
          <rPr>
            <sz val="9"/>
            <rFont val="Tahoma"/>
            <charset val="134"/>
          </rPr>
          <t>Daniel Carlos:
Valores que constam no caderno técnico. A unidade deve realizar pesquisa de mercado para o levantamento do percentual médio destas rubricas.</t>
        </r>
      </text>
    </comment>
  </commentList>
</comments>
</file>

<file path=xl/sharedStrings.xml><?xml version="1.0" encoding="utf-8"?>
<sst xmlns="http://schemas.openxmlformats.org/spreadsheetml/2006/main" count="991" uniqueCount="312">
  <si>
    <t>Orientações para utilização desta Planilha</t>
  </si>
  <si>
    <t>Esta planilha tem como finalidade orientar o planejamento da contratação e fundamentar seu custo estimado , conforme item 2.9, b, do Anexo V da Instrução Normativa SEGES/MPDG nº 05, de 2017.</t>
  </si>
  <si>
    <t>Além dos cálculos e valores constantes na própria IN 05/2017, foi utilizada a metodologia de cálculo constante no caderno técnico de limpeza do Ministério do Planejamento.</t>
  </si>
  <si>
    <r>
      <rPr>
        <sz val="11"/>
        <color rgb="FF000000"/>
        <rFont val="Calibri"/>
        <charset val="134"/>
      </rPr>
      <t xml:space="preserve">Para não haver alteração nas fórmulas constantes nas planilhas, recomenda-se, com exceção da aba "Ambientes", que somente se altere os valores que constam células com fundo </t>
    </r>
    <r>
      <rPr>
        <u/>
        <sz val="11"/>
        <color rgb="FFF4B183"/>
        <rFont val="Calibri"/>
        <charset val="134"/>
      </rPr>
      <t>laranja.</t>
    </r>
  </si>
  <si>
    <t>A lista de materiais, equipamentos, EPIs e Uniformes, bem como seus respectivos valores unitários são meramente exemplificativos. Cabe à equipe de planejamento realizar o levantamento dos materiais e respectivos quantitativos necessários à execução dos serviços, bem como realizar pesquisa de preço de cada insumo, inserindo-os na planilha.</t>
  </si>
  <si>
    <t>Esta planilha calcula automaticamente o quantitativo de área para cada tipo previsto na IN 05/2017, de acordo com os ambientes inseridos na tabela correspondente. Caso a unidade já tenha o quantitativo consolidade, decorrente de estimativas pretéritas, basta inserir os valores diretamente na planilha "Tipos de Área e Produtividade", na coluna "Quantidade" (Obs. Recomenda-se apagar todo o conteúdo da coluna antes de inserir os valores).</t>
  </si>
  <si>
    <t xml:space="preserve">As produtividades que a unidade deseja utilizar deve ser inserida na planilha "Tipos de Área e Produtividade" no campo "Produtividade Personalizada". A planilha calculará automaticamente o quantitativo de serventes previsto, com base na quantidade demandada e na produtividade inserida. </t>
  </si>
  <si>
    <t>A planilha automaticamente arredonda o quantitativo de serventes, realizando os devidos ajustes nas produtividades e as utilizando para os demais cálculos da planilha.</t>
  </si>
  <si>
    <t>Caso a unidade opte pela não utilização do encarregado (recomendado nos casos de quantitativos pequenos de servente), os valores da coluna "Preço Homem Mês - Encarregado" deve ser removido.</t>
  </si>
  <si>
    <t>Foi utilizado os percentuais de lucro e custos indireitos do caderno técnico de limpeza. Recomenda-se que seja realizada pesquisa de mercado para apuração do média de mercado para tais rubricas.</t>
  </si>
  <si>
    <t>Em caso de dúvidas ou sugestões, entrar em contato por meio do e-mail: daniel.souza@ifpb.edu.br ou danieloxyjp@gmail.com</t>
  </si>
  <si>
    <t>Última atualização: 28/02/2019</t>
  </si>
  <si>
    <t xml:space="preserve"> Daniel Carlos Cruz de Souza</t>
  </si>
  <si>
    <t>Coordenação de Planejamento em Aquisições - Reitoria/IFPB</t>
  </si>
  <si>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</si>
  <si>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</si>
  <si>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</si>
  <si>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</si>
  <si>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</si>
  <si>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</si>
  <si>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</si>
  <si>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</si>
  <si>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</si>
  <si>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</si>
  <si>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</si>
  <si>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</si>
  <si>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</si>
  <si>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</si>
  <si>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</si>
  <si>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</si>
  <si>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</si>
  <si>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</si>
  <si>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</si>
  <si>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</si>
  <si>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</si>
  <si>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</si>
  <si>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</si>
  <si>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</si>
  <si>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</si>
  <si>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</si>
  <si>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</si>
  <si>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</si>
  <si>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</si>
  <si>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</si>
  <si>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</si>
  <si>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</si>
  <si>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</si>
  <si>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</si>
  <si>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</si>
  <si>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</si>
  <si>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</si>
  <si>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</si>
  <si>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</si>
  <si>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</si>
  <si>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</si>
  <si>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</si>
  <si>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</si>
  <si>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</si>
  <si>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</si>
  <si>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</si>
  <si>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</si>
  <si>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</si>
  <si>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</si>
  <si>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</si>
  <si>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</si>
  <si>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</si>
  <si>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</si>
  <si>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</si>
  <si>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</si>
  <si>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</si>
  <si>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</si>
  <si>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</si>
  <si>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</si>
  <si>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</si>
  <si>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</si>
  <si>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</si>
  <si>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</si>
  <si>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</si>
  <si>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</si>
  <si>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</si>
  <si>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</si>
  <si>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</si>
  <si>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</si>
  <si>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</si>
  <si>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</si>
  <si>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</si>
  <si>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</si>
  <si>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</si>
  <si>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</si>
  <si>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</si>
  <si>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</si>
  <si>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</si>
  <si>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</si>
  <si>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</si>
  <si>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</si>
  <si>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</si>
  <si>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</si>
  <si>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</si>
  <si>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</si>
  <si>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</si>
  <si>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</si>
  <si>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</si>
  <si>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</si>
  <si>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</si>
  <si>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</si>
  <si>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</si>
  <si>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</si>
  <si>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</si>
  <si>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</si>
  <si>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</si>
  <si>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</si>
  <si>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</si>
  <si>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</si>
  <si>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</si>
  <si>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</si>
  <si>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</si>
  <si>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</si>
  <si>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</si>
  <si>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</si>
  <si>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</si>
  <si>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</si>
  <si>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</si>
  <si>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</si>
  <si>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</si>
  <si>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</si>
  <si>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</si>
  <si>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</si>
  <si>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</si>
  <si>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</si>
  <si>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</si>
  <si>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</si>
  <si>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</si>
  <si>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</si>
  <si>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</si>
  <si>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</si>
  <si>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</si>
  <si>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</si>
  <si>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</si>
  <si>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</si>
  <si>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</si>
  <si>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</si>
  <si>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</si>
  <si>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</si>
  <si>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</si>
  <si>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</si>
  <si>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</si>
  <si>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</si>
  <si>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</si>
  <si>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</si>
  <si>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</si>
  <si>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</si>
  <si>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</si>
  <si>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</si>
  <si>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</si>
  <si>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</si>
  <si>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</si>
  <si>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</si>
  <si>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</si>
  <si>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</si>
  <si>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</si>
  <si>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</si>
  <si>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</si>
  <si>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</si>
  <si>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</si>
  <si>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</si>
  <si>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</si>
  <si>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</si>
  <si>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</si>
  <si>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</si>
  <si>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</si>
  <si>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</si>
  <si>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</si>
  <si>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</si>
  <si>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</si>
  <si>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</si>
  <si>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</si>
  <si>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</si>
  <si>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DE CUSTOS E FORMAÇÃO DE PREÇOS</t>
  </si>
  <si>
    <r>
      <rPr>
        <b/>
        <sz val="11"/>
        <rFont val="Calibri"/>
        <charset val="134"/>
      </rPr>
      <t xml:space="preserve">Processo Administrativo n.° </t>
    </r>
    <r>
      <rPr>
        <sz val="11"/>
        <rFont val="Calibri"/>
        <charset val="134"/>
      </rPr>
      <t>23381.004959.2021-15</t>
    </r>
  </si>
  <si>
    <t>Licitação n°</t>
  </si>
  <si>
    <t>005/2021</t>
  </si>
  <si>
    <t>Discriminação dos Serviços (Dados Referente à Contratação)</t>
  </si>
  <si>
    <t>Data -  Apresentação da Proposta</t>
  </si>
  <si>
    <t>....../......./20.......</t>
  </si>
  <si>
    <t>Município - ISSQN</t>
  </si>
  <si>
    <t>ISSQN 5 % (cinco por cento)</t>
  </si>
  <si>
    <t>Ano Acordo, Convenção ou Dissídio Coletivo</t>
  </si>
  <si>
    <t>CCT PB 000047/2021</t>
  </si>
  <si>
    <t>Número de Meses de Execução Contratual</t>
  </si>
  <si>
    <t>12 (doze) meses</t>
  </si>
  <si>
    <t>Identificação do Serviço</t>
  </si>
  <si>
    <t>Tipo de Serviço</t>
  </si>
  <si>
    <t>Unidade de Medida</t>
  </si>
  <si>
    <t>Quantidade Total a Contratar</t>
  </si>
  <si>
    <t>Eletricista</t>
  </si>
  <si>
    <t>44 horas</t>
  </si>
  <si>
    <t>MTE</t>
  </si>
  <si>
    <t>7156-10</t>
  </si>
  <si>
    <t>SEAC-PB</t>
  </si>
  <si>
    <t>01/JANEIRO</t>
  </si>
  <si>
    <t>GRUPO VIII</t>
  </si>
  <si>
    <t>Lei n.° 12.740/2012 – NR 16 Anexo IV</t>
  </si>
  <si>
    <t>BASE DE CÁLCULO PARA O SUBMÓDULO 2.2</t>
  </si>
  <si>
    <t>MÓDULO 1</t>
  </si>
  <si>
    <t>MÓDULO 2.1</t>
  </si>
  <si>
    <t>TOTAL</t>
  </si>
  <si>
    <t>SAT (+FAP de 0,5 a 2,0) (Variação: 0,5% a 6 %)</t>
  </si>
  <si>
    <r>
      <rPr>
        <sz val="11"/>
        <rFont val="Calibri"/>
        <charset val="134"/>
      </rPr>
      <t>Intervalo Intrajornada (</t>
    </r>
    <r>
      <rPr>
        <sz val="10"/>
        <rFont val="Calibri"/>
        <charset val="134"/>
      </rPr>
      <t>não usufruído pelo empregado</t>
    </r>
    <r>
      <rPr>
        <sz val="11"/>
        <rFont val="Calibri"/>
        <charset val="134"/>
      </rPr>
      <t>)</t>
    </r>
  </si>
  <si>
    <t>Benefício Odontológico</t>
  </si>
  <si>
    <t>Auxílio Morte/Funeral</t>
  </si>
  <si>
    <t>Incidência de GPS, FGTS e outras contribuições sobre o Aviso Prévio Trabalhado</t>
  </si>
  <si>
    <t>BASE DE CÁLCULO PARA O MÓDULO 4</t>
  </si>
  <si>
    <t>MÓDULO 2</t>
  </si>
  <si>
    <t>MÓDULO 3</t>
  </si>
  <si>
    <t>Substituto na cobertura de 13º (décimo terceiro) Salário, Férias e Adicional de Férias</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</si>
  <si>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</si>
  <si>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</si>
  <si>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</si>
  <si>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</si>
  <si>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Uniformes e Equipamento de Proteção Individual - EPI</t>
  </si>
  <si>
    <t>Equipamentos de Proteção Coletiva - EPC</t>
  </si>
  <si>
    <t>BASE DE CÁLCULO PARA O MÓDULO 6</t>
  </si>
  <si>
    <t>MÓDULO 4</t>
  </si>
  <si>
    <t>MÓDULO 5</t>
  </si>
  <si>
    <t>CÁLCULO POR DENTRO</t>
  </si>
  <si>
    <t>TOTAL DOS TRIBUTOS</t>
  </si>
  <si>
    <t>BASE DE CÁLCULO</t>
  </si>
  <si>
    <t>ÍNDICE</t>
  </si>
  <si>
    <t>C.1 - PIS</t>
  </si>
  <si>
    <t>C.2 - COFINS</t>
  </si>
  <si>
    <t>C.3 - ISS</t>
  </si>
  <si>
    <t>VALOR TOTAL POR EMPREGADO</t>
  </si>
  <si>
    <t>Técnico Mecânico em Refrigeração</t>
  </si>
  <si>
    <t>7257-05</t>
  </si>
  <si>
    <t>UNIFORMES E EQUIPAMENTOS DE PROTEÇÃO INDIVIDUAL E COLETIVO</t>
  </si>
  <si>
    <t>ELETRICISTA</t>
  </si>
  <si>
    <t>ITEM</t>
  </si>
  <si>
    <t>PEÇA</t>
  </si>
  <si>
    <t>DESCRIÇÃO</t>
  </si>
  <si>
    <t>UNIDADE</t>
  </si>
  <si>
    <t>VALOR MÉDIO UNITÁRIO (R$)</t>
  </si>
  <si>
    <t>QUANTIDADE ANUAL</t>
  </si>
  <si>
    <t>VALOR ANUAL POR EMPREGADO (R$)</t>
  </si>
  <si>
    <t>VALOR MENSAL POR EMPREGADO (R$)</t>
  </si>
  <si>
    <t>CALÇA</t>
  </si>
  <si>
    <t>Calça com cós de elástico, dois bolsos frontais e dois bolsos na traseira, confeccionado em tecido 100% algodão com tratamento retardante a chama, sem partes metálicas, com fitas refletivas nas pernas.</t>
  </si>
  <si>
    <t>Unidade</t>
  </si>
  <si>
    <t>CAMISA</t>
  </si>
  <si>
    <t>Camisa com gola tipo italiana, com mangas longas e punhos americanos, com fitas refletivas na altura dos ombros e costas e identificação da empresa na parte frontal, confeccionadas em tecido 100% algodão com tratamento retardante a chama.</t>
  </si>
  <si>
    <t>Camisa tipo Polo em Piquet de Malha – 50% algodão e 50% poliéster,  com mangas curtas, identificação da empresa na parte frontal, na cor Branca.</t>
  </si>
  <si>
    <t>BONÉ</t>
  </si>
  <si>
    <t>Boné árabe em brim 100% algodão para proteção da face em trabalhos a céu aberto.</t>
  </si>
  <si>
    <t>MANGUITO PROTEÇÃO UV</t>
  </si>
  <si>
    <t>Manguito Proteção UV 50: Dimensões Aproximadas: P: 9x27,7 cm (L x C), G: 9,5x41 cm (L x P), Composição: 94% Poliamida e 6% Elastano; Proteção UV, Antimicrobial, Seamless Dry, Proteção Solar: Com FPS; na cor preta.</t>
  </si>
  <si>
    <t>Par</t>
  </si>
  <si>
    <t>CALÇADO</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</si>
  <si>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</si>
  <si>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MEIA</t>
  </si>
  <si>
    <t>Meia, modelo cano alto , composição: 88% Algodão, 2% Lycra e 10% Poliamida, na cor preta.</t>
  </si>
  <si>
    <t>CRACHÁ</t>
  </si>
  <si>
    <t xml:space="preserve"> Crachá de identiﬁcação, em plástico rígido, contendo logomarca da empresa, foto e nome completo do funcionário.</t>
  </si>
  <si>
    <t>CAPACETE</t>
  </si>
  <si>
    <t>Capacete de segurança, tipo II classe B, aba frontal, injetados em material plástico, com carneira com ajuste traseiro e aranha, tira de suor confeccionada em TNT dublado com espuma, com jugular confeccionada com tecido de nylon e ajuste através de passador plástico, cor laranja, com selo de marcação do INMETRO.</t>
  </si>
  <si>
    <t>CINTO DE SEGURANÇA</t>
  </si>
  <si>
    <t>Conjunto cinto de segurança tipo paraquedista com talabarte duplo e kit trava queda (o cinto de segurança e o talabarte deverão ter o mesmo C.A.)</t>
  </si>
  <si>
    <t>Conjunto</t>
  </si>
  <si>
    <t>LUVA</t>
  </si>
  <si>
    <t>Luva de segurança isolante em borracha para alta tensão 20Kv, classe 2, para tensão máxima de uso até 17.000V.</t>
  </si>
  <si>
    <t>Luva de segurança confeccionada em malha tricotada 4 fios algodão, palma com pigmento de PVC, cano curto, para uso em serviços gerais.</t>
  </si>
  <si>
    <t>ÓCULOS</t>
  </si>
  <si>
    <t>Óculos de proteção individual com lentes incolor, armação em policarbonato, lente em policarbonato, anti-embaçante e anti-risco. Modelo de sobreposição (p/ser usado sobre óculos graduados).</t>
  </si>
  <si>
    <t>PROTETOR AURICULAR</t>
  </si>
  <si>
    <t>Protetor auricular, tipo plug de três flanges, material silicone, características adicionais anti-alérgico/atóxico.</t>
  </si>
  <si>
    <t>PROTETOR SOLAR</t>
  </si>
  <si>
    <t>Protetor solar fator de proteção FPS 30 ou superior.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</si>
  <si>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</si>
  <si>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</si>
  <si>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TÉCNICO MECÂNICO EM REFRIGERAÇÃO</t>
  </si>
  <si>
    <t>Calça com cós de elástico, dois bolsos frontais e dois bolsos na traseira, confeccionado em brim 100% algodão, sem partes metálicas.</t>
  </si>
  <si>
    <t>Camisa com gola tipo italiana, com mangas curtas, identificação da empresa na parte frontal, confeccionada em brim 100% algodão.</t>
  </si>
  <si>
    <t>Capacete de segurança, tipo II classe A, aba frontal, com carneira e jugular. Regulagem de tamanho através de ajuste simples, cor azul, com selo de marcação do INMETRO.</t>
  </si>
  <si>
    <t>EQUIPAMENTOS DE PROTEÇÃO COLETIVA</t>
  </si>
  <si>
    <t>VALOR UNITÁRIO</t>
  </si>
  <si>
    <t>VALOR TOTAL</t>
  </si>
  <si>
    <t>KIT PRIMEIRO SOCORROS</t>
  </si>
  <si>
    <t>Caixa plástica tipo maleta para acondicionamento do Kit</t>
  </si>
  <si>
    <t>Tesoura sem ponta</t>
  </si>
  <si>
    <t>Luvas de procedimento</t>
  </si>
  <si>
    <t>Caixa com 50 pares</t>
  </si>
  <si>
    <t>Máscara cirúrgica</t>
  </si>
  <si>
    <t>Gazes</t>
  </si>
  <si>
    <t>Pacote</t>
  </si>
  <si>
    <t>Esparadrapo</t>
  </si>
  <si>
    <t>Rolo</t>
  </si>
  <si>
    <t>Atadura de crepe</t>
  </si>
  <si>
    <t>Soro fisiológico SF 0,9% 250 mL</t>
  </si>
  <si>
    <t>Frasco</t>
  </si>
  <si>
    <t>Antisséptico degermante 100ml</t>
  </si>
  <si>
    <t>Corda de segurança em poliamida de 12 mm de diâmetro Rolo com 100 metros</t>
  </si>
  <si>
    <t>Mangas isolantes de borracha Classe 2 (M.T.)</t>
  </si>
  <si>
    <t>Placas de sinalização “Atenção - Em manutenção”</t>
  </si>
  <si>
    <t>Cone em PVC, cor laranja com faixas refletivas, tamanho 75 cm.</t>
  </si>
  <si>
    <t>QUANTIDADE DE PROFISSIONAIS A SEREM CONTRATADOS</t>
  </si>
  <si>
    <t>VALOR MENSAL POR EMPREGADO</t>
  </si>
  <si>
    <t>PLANILHA RESUMO</t>
  </si>
  <si>
    <t>Quantidade</t>
  </si>
  <si>
    <t xml:space="preserve">VIGÊNCIA </t>
  </si>
  <si>
    <t>VALOR UNITÁRIO MÁXIMO ACEITÁVEL</t>
  </si>
  <si>
    <t>VALOR TOTAL MÁXIMO ACEITÁVEL</t>
  </si>
  <si>
    <r>
      <rPr>
        <sz val="11"/>
        <color theme="1"/>
        <rFont val="Calibri"/>
        <charset val="134"/>
        <scheme val="minor"/>
      </rPr>
      <t xml:space="preserve">PRESTAÇÃO DE SERVIÇOS DE APOIO ADMINISTRATIVO - Posto de serviços: </t>
    </r>
    <r>
      <rPr>
        <b/>
        <sz val="11"/>
        <color theme="1"/>
        <rFont val="Calibri"/>
        <charset val="134"/>
        <scheme val="minor"/>
      </rPr>
      <t>ELETRICISTA - CBO: 7156-10</t>
    </r>
    <r>
      <rPr>
        <sz val="11"/>
        <color theme="1"/>
        <rFont val="Calibri"/>
        <charset val="134"/>
        <scheme val="minor"/>
      </rPr>
      <t>, em jornada semanal de 44 (quarenta e quatro) horas.</t>
    </r>
  </si>
  <si>
    <t>POSTO</t>
  </si>
  <si>
    <r>
      <rPr>
        <sz val="11"/>
        <color theme="1"/>
        <rFont val="Calibri"/>
        <charset val="134"/>
        <scheme val="minor"/>
      </rPr>
      <t xml:space="preserve">PRESTAÇÃO DE SERVIÇOS DE APOIO ADMINISTRATIVO - Posto de serviços: </t>
    </r>
    <r>
      <rPr>
        <b/>
        <sz val="11"/>
        <color theme="1"/>
        <rFont val="Calibri"/>
        <charset val="134"/>
        <scheme val="minor"/>
      </rPr>
      <t>TÉCNICO MECÂNICO EM REFRIGERAÇÃO - CBO 7257-05</t>
    </r>
    <r>
      <rPr>
        <sz val="11"/>
        <color theme="1"/>
        <rFont val="Calibri"/>
        <charset val="134"/>
        <scheme val="minor"/>
      </rPr>
      <t>, em jornada semanal de 44 (quarenta e quatro) horas.</t>
    </r>
  </si>
</sst>
</file>

<file path=xl/styles.xml><?xml version="1.0" encoding="utf-8"?>
<styleSheet xmlns="http://schemas.openxmlformats.org/spreadsheetml/2006/main">
  <numFmts count="11">
    <numFmt numFmtId="176" formatCode="_-* #,##0.00_-;\-* #,##0.00_-;_-* &quot;-&quot;??_-;_-@_-"/>
    <numFmt numFmtId="177" formatCode="_-&quot;R$&quot;* #,##0_-;\-&quot;R$&quot;* #,##0_-;_-&quot;R$&quot;* &quot;-&quot;_-;_-@_-"/>
    <numFmt numFmtId="178" formatCode="_-&quot;R$ &quot;* #,##0.00_-;&quot;-R$ &quot;* #,##0.00_-;_-&quot;R$ &quot;* \-??_-;_-@_-"/>
    <numFmt numFmtId="179" formatCode="&quot;R$&quot;#,##0.00_);[Red]\(&quot;R$&quot;#,##0.00\)"/>
    <numFmt numFmtId="180" formatCode="_-* #,##0_-;\-* #,##0_-;_-* &quot;-&quot;_-;_-@_-"/>
    <numFmt numFmtId="181" formatCode="&quot;R$&quot;\ #,##0.00_);[Red]\(&quot;R$&quot;\ #,##0.00\)"/>
    <numFmt numFmtId="182" formatCode="&quot;R$ &quot;#,##0.00"/>
    <numFmt numFmtId="183" formatCode="&quot;R$&quot;#,##0.00_);[Red]&quot;(R$&quot;#,##0.00\)"/>
    <numFmt numFmtId="184" formatCode="0.00_ "/>
    <numFmt numFmtId="185" formatCode="0.0000_ "/>
    <numFmt numFmtId="186" formatCode="&quot;R$&quot;#,##0.00"/>
  </numFmts>
  <fonts count="44">
    <font>
      <sz val="11"/>
      <color rgb="FF000000"/>
      <name val="Calibri"/>
      <charset val="134"/>
    </font>
    <font>
      <b/>
      <sz val="11"/>
      <color theme="1"/>
      <name val="Calibri"/>
      <charset val="134"/>
      <scheme val="minor"/>
    </font>
    <font>
      <sz val="11"/>
      <color theme="1"/>
      <name val="Calibri"/>
      <charset val="134"/>
      <scheme val="minor"/>
    </font>
    <font>
      <b/>
      <i/>
      <sz val="11"/>
      <name val="Calibri"/>
      <charset val="134"/>
    </font>
    <font>
      <b/>
      <i/>
      <sz val="11"/>
      <color rgb="FF3F3F3F"/>
      <name val="Calibri"/>
      <charset val="134"/>
    </font>
    <font>
      <i/>
      <sz val="11"/>
      <name val="Times New Roman"/>
      <charset val="134"/>
    </font>
    <font>
      <i/>
      <sz val="11"/>
      <name val="Calibri"/>
      <charset val="134"/>
    </font>
    <font>
      <b/>
      <i/>
      <sz val="11"/>
      <color rgb="FF000000"/>
      <name val="Calibri"/>
      <charset val="134"/>
    </font>
    <font>
      <b/>
      <sz val="11"/>
      <color theme="0"/>
      <name val="Calibri"/>
      <charset val="134"/>
    </font>
    <font>
      <b/>
      <sz val="11"/>
      <name val="Calibri"/>
      <charset val="134"/>
    </font>
    <font>
      <b/>
      <sz val="11"/>
      <color rgb="FF000000"/>
      <name val="Calibri"/>
      <charset val="134"/>
    </font>
    <font>
      <sz val="11"/>
      <name val="Calibri"/>
      <charset val="134"/>
    </font>
    <font>
      <i/>
      <sz val="11"/>
      <name val="Carlito"/>
      <charset val="134"/>
    </font>
    <font>
      <sz val="11"/>
      <color rgb="FFFF0000"/>
      <name val="Calibri"/>
      <charset val="134"/>
    </font>
    <font>
      <b/>
      <sz val="14"/>
      <name val="Calibri"/>
      <charset val="134"/>
    </font>
    <font>
      <sz val="11"/>
      <color theme="0"/>
      <name val="Calibri"/>
      <charset val="134"/>
    </font>
    <font>
      <sz val="11"/>
      <color theme="5" tint="0.4"/>
      <name val="Calibri"/>
      <charset val="134"/>
    </font>
    <font>
      <b/>
      <sz val="11"/>
      <color rgb="FFFFFFFF"/>
      <name val="Calibri"/>
      <charset val="134"/>
    </font>
    <font>
      <sz val="11"/>
      <color rgb="FFFFFFFF"/>
      <name val="Calibri"/>
      <charset val="134"/>
    </font>
    <font>
      <i/>
      <sz val="11"/>
      <color rgb="FF000000"/>
      <name val="Calibri"/>
      <charset val="134"/>
    </font>
    <font>
      <sz val="11"/>
      <color rgb="FFFF0000"/>
      <name val="Calibri"/>
      <charset val="0"/>
      <scheme val="minor"/>
    </font>
    <font>
      <sz val="11"/>
      <color rgb="FFFA7D00"/>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b/>
      <sz val="11"/>
      <color theme="3"/>
      <name val="Calibri"/>
      <charset val="134"/>
      <scheme val="minor"/>
    </font>
    <font>
      <sz val="10"/>
      <color theme="1"/>
      <name val="Calibri"/>
      <charset val="134"/>
      <scheme val="minor"/>
    </font>
    <font>
      <sz val="10"/>
      <name val="Arial"/>
      <charset val="134"/>
    </font>
    <font>
      <i/>
      <sz val="11"/>
      <color rgb="FF7F7F7F"/>
      <name val="Calibri"/>
      <charset val="0"/>
      <scheme val="minor"/>
    </font>
    <font>
      <u/>
      <sz val="11"/>
      <color rgb="FF800080"/>
      <name val="Calibri"/>
      <charset val="0"/>
      <scheme val="minor"/>
    </font>
    <font>
      <b/>
      <sz val="11"/>
      <color rgb="FFFFFFFF"/>
      <name val="Calibri"/>
      <charset val="0"/>
      <scheme val="minor"/>
    </font>
    <font>
      <sz val="11"/>
      <color rgb="FF9C6500"/>
      <name val="Calibri"/>
      <charset val="0"/>
      <scheme val="minor"/>
    </font>
    <font>
      <b/>
      <sz val="15"/>
      <color theme="3"/>
      <name val="Calibri"/>
      <charset val="134"/>
      <scheme val="minor"/>
    </font>
    <font>
      <u/>
      <sz val="11"/>
      <color rgb="FF0000FF"/>
      <name val="Calibri"/>
      <charset val="0"/>
      <scheme val="minor"/>
    </font>
    <font>
      <sz val="11"/>
      <color rgb="FF006100"/>
      <name val="Calibri"/>
      <charset val="0"/>
      <scheme val="minor"/>
    </font>
    <font>
      <b/>
      <sz val="11"/>
      <color rgb="FFFA7D00"/>
      <name val="Calibri"/>
      <charset val="0"/>
      <scheme val="minor"/>
    </font>
    <font>
      <b/>
      <sz val="18"/>
      <color theme="3"/>
      <name val="Calibri"/>
      <charset val="134"/>
      <scheme val="minor"/>
    </font>
    <font>
      <b/>
      <sz val="11"/>
      <color theme="1"/>
      <name val="Calibri"/>
      <charset val="0"/>
      <scheme val="minor"/>
    </font>
    <font>
      <b/>
      <sz val="11"/>
      <color rgb="FF3F3F3F"/>
      <name val="Calibri"/>
      <charset val="0"/>
      <scheme val="minor"/>
    </font>
    <font>
      <b/>
      <sz val="13"/>
      <color theme="3"/>
      <name val="Calibri"/>
      <charset val="134"/>
      <scheme val="minor"/>
    </font>
    <font>
      <sz val="11"/>
      <color rgb="FF3F3F76"/>
      <name val="Calibri"/>
      <charset val="0"/>
      <scheme val="minor"/>
    </font>
    <font>
      <sz val="10"/>
      <name val="Calibri"/>
      <charset val="134"/>
    </font>
    <font>
      <u/>
      <sz val="11"/>
      <color rgb="FFF4B183"/>
      <name val="Calibri"/>
      <charset val="134"/>
    </font>
    <font>
      <sz val="9"/>
      <name val="Tahoma"/>
      <charset val="134"/>
    </font>
  </fonts>
  <fills count="45">
    <fill>
      <patternFill patternType="none"/>
    </fill>
    <fill>
      <patternFill patternType="gray125"/>
    </fill>
    <fill>
      <patternFill patternType="solid">
        <fgColor theme="9"/>
        <bgColor theme="9"/>
      </patternFill>
    </fill>
    <fill>
      <patternFill patternType="solid">
        <fgColor theme="0" tint="-0.5"/>
        <bgColor indexed="64"/>
      </patternFill>
    </fill>
    <fill>
      <patternFill patternType="solid">
        <fgColor rgb="FFD7D7D7"/>
        <bgColor indexed="64"/>
      </patternFill>
    </fill>
    <fill>
      <patternFill patternType="solid">
        <fgColor theme="9"/>
        <bgColor indexed="64"/>
      </patternFill>
    </fill>
    <fill>
      <patternFill patternType="solid">
        <fgColor theme="9" tint="0.6"/>
        <bgColor indexed="64"/>
      </patternFill>
    </fill>
    <fill>
      <patternFill patternType="solid">
        <fgColor theme="9" tint="0.4"/>
        <bgColor indexed="64"/>
      </patternFill>
    </fill>
    <fill>
      <patternFill patternType="solid">
        <fgColor theme="5" tint="0.4"/>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rgb="FFF2F2F2"/>
        <bgColor rgb="FFE2F0D9"/>
      </patternFill>
    </fill>
    <fill>
      <patternFill patternType="solid">
        <fgColor theme="8"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A5A5A5"/>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599993896298105"/>
        <bgColor indexed="64"/>
      </patternFill>
    </fill>
    <fill>
      <patternFill patternType="solid">
        <fgColor rgb="FFC6EFCE"/>
        <bgColor indexed="64"/>
      </patternFill>
    </fill>
    <fill>
      <patternFill patternType="solid">
        <fgColor rgb="FFF2F2F2"/>
        <bgColor indexed="64"/>
      </patternFill>
    </fill>
    <fill>
      <patternFill patternType="solid">
        <fgColor theme="8"/>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FCC99"/>
        <bgColor indexed="64"/>
      </patternFill>
    </fill>
    <fill>
      <patternFill patternType="solid">
        <fgColor theme="5"/>
        <bgColor indexed="64"/>
      </patternFill>
    </fill>
    <fill>
      <patternFill patternType="solid">
        <fgColor theme="9" tint="0.399975585192419"/>
        <bgColor indexed="64"/>
      </patternFill>
    </fill>
  </fills>
  <borders count="25">
    <border>
      <left/>
      <right/>
      <top/>
      <bottom/>
      <diagonal/>
    </border>
    <border>
      <left style="thin">
        <color theme="0"/>
      </left>
      <right/>
      <top/>
      <bottom style="thick">
        <color theme="0"/>
      </bottom>
      <diagonal/>
    </border>
    <border>
      <left/>
      <right/>
      <top/>
      <bottom style="thick">
        <color theme="0"/>
      </bottom>
      <diagonal/>
    </border>
    <border>
      <left/>
      <right style="thin">
        <color theme="0"/>
      </right>
      <top/>
      <bottom style="thick">
        <color theme="0"/>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top/>
      <bottom style="thin">
        <color rgb="FFFFFFFF"/>
      </bottom>
      <diagonal/>
    </border>
    <border>
      <left/>
      <right style="thin">
        <color rgb="FFFFFFFF"/>
      </right>
      <top style="thick">
        <color rgb="FFFFFFFF"/>
      </top>
      <bottom style="thin">
        <color rgb="FFFFFFFF"/>
      </bottom>
      <diagonal/>
    </border>
    <border>
      <left style="thin">
        <color rgb="FFFFFFFF"/>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bottom style="thick">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auto="1"/>
      </left>
      <right style="thin">
        <color auto="1"/>
      </right>
      <top style="thin">
        <color auto="1"/>
      </top>
      <bottom/>
      <diagonal/>
    </border>
    <border>
      <left/>
      <right/>
      <top/>
      <bottom style="thin">
        <color auto="1"/>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177" fontId="27" fillId="0" borderId="0" applyBorder="0" applyAlignment="0" applyProtection="0"/>
    <xf numFmtId="180" fontId="27" fillId="0" borderId="0" applyBorder="0" applyAlignment="0" applyProtection="0"/>
    <xf numFmtId="0" fontId="22" fillId="34" borderId="0" applyNumberFormat="0" applyBorder="0" applyAlignment="0" applyProtection="0">
      <alignment vertical="center"/>
    </xf>
    <xf numFmtId="9" fontId="0" fillId="0" borderId="0" applyBorder="0" applyProtection="0"/>
    <xf numFmtId="0" fontId="21" fillId="0" borderId="17" applyNumberFormat="0" applyFill="0" applyAlignment="0" applyProtection="0">
      <alignment vertical="center"/>
    </xf>
    <xf numFmtId="0" fontId="30" fillId="24" borderId="20" applyNumberFormat="0" applyAlignment="0" applyProtection="0">
      <alignment vertical="center"/>
    </xf>
    <xf numFmtId="176" fontId="27" fillId="0" borderId="0" applyBorder="0" applyAlignment="0" applyProtection="0"/>
    <xf numFmtId="0" fontId="22" fillId="32" borderId="0" applyNumberFormat="0" applyBorder="0" applyAlignment="0" applyProtection="0">
      <alignment vertical="center"/>
    </xf>
    <xf numFmtId="178" fontId="0" fillId="0" borderId="0" applyBorder="0" applyProtection="0"/>
    <xf numFmtId="0" fontId="29"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2" fillId="28" borderId="0" applyNumberFormat="0" applyBorder="0" applyAlignment="0" applyProtection="0">
      <alignment vertical="center"/>
    </xf>
    <xf numFmtId="0" fontId="26" fillId="20" borderId="19" applyNumberFormat="0" applyFont="0" applyAlignment="0" applyProtection="0">
      <alignment vertical="center"/>
    </xf>
    <xf numFmtId="0" fontId="22" fillId="35" borderId="0" applyNumberFormat="0" applyBorder="0" applyAlignment="0" applyProtection="0">
      <alignment vertical="center"/>
    </xf>
    <xf numFmtId="0" fontId="20"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3" fillId="39" borderId="0" applyNumberFormat="0" applyBorder="0" applyAlignment="0" applyProtection="0">
      <alignment vertical="center"/>
    </xf>
    <xf numFmtId="0" fontId="32" fillId="0" borderId="21" applyNumberFormat="0" applyFill="0" applyAlignment="0" applyProtection="0">
      <alignment vertical="center"/>
    </xf>
    <xf numFmtId="0" fontId="23" fillId="33" borderId="0" applyNumberFormat="0" applyBorder="0" applyAlignment="0" applyProtection="0">
      <alignment vertical="center"/>
    </xf>
    <xf numFmtId="0" fontId="39" fillId="0" borderId="21" applyNumberFormat="0" applyFill="0" applyAlignment="0" applyProtection="0">
      <alignment vertical="center"/>
    </xf>
    <xf numFmtId="0" fontId="23" fillId="31" borderId="0" applyNumberFormat="0" applyBorder="0" applyAlignment="0" applyProtection="0">
      <alignment vertical="center"/>
    </xf>
    <xf numFmtId="0" fontId="25" fillId="0" borderId="18" applyNumberFormat="0" applyFill="0" applyAlignment="0" applyProtection="0">
      <alignment vertical="center"/>
    </xf>
    <xf numFmtId="0" fontId="23" fillId="5" borderId="0" applyNumberFormat="0" applyBorder="0" applyAlignment="0" applyProtection="0">
      <alignment vertical="center"/>
    </xf>
    <xf numFmtId="0" fontId="25" fillId="0" borderId="0" applyNumberFormat="0" applyFill="0" applyBorder="0" applyAlignment="0" applyProtection="0">
      <alignment vertical="center"/>
    </xf>
    <xf numFmtId="0" fontId="40" fillId="42" borderId="22" applyNumberFormat="0" applyAlignment="0" applyProtection="0">
      <alignment vertical="center"/>
    </xf>
    <xf numFmtId="0" fontId="38" fillId="30" borderId="24" applyNumberFormat="0" applyAlignment="0" applyProtection="0">
      <alignment vertical="center"/>
    </xf>
    <xf numFmtId="0" fontId="35" fillId="30" borderId="22" applyNumberFormat="0" applyAlignment="0" applyProtection="0">
      <alignment vertical="center"/>
    </xf>
    <xf numFmtId="0" fontId="37" fillId="0" borderId="23" applyNumberFormat="0" applyFill="0" applyAlignment="0" applyProtection="0">
      <alignment vertical="center"/>
    </xf>
    <xf numFmtId="0" fontId="22" fillId="38" borderId="0" applyNumberFormat="0" applyBorder="0" applyAlignment="0" applyProtection="0">
      <alignment vertical="center"/>
    </xf>
    <xf numFmtId="0" fontId="34" fillId="29" borderId="0" applyNumberFormat="0" applyBorder="0" applyAlignment="0" applyProtection="0">
      <alignment vertical="center"/>
    </xf>
    <xf numFmtId="0" fontId="24" fillId="19" borderId="0" applyNumberFormat="0" applyBorder="0" applyAlignment="0" applyProtection="0">
      <alignment vertical="center"/>
    </xf>
    <xf numFmtId="0" fontId="31" fillId="27" borderId="0" applyNumberFormat="0" applyBorder="0" applyAlignment="0" applyProtection="0">
      <alignment vertical="center"/>
    </xf>
    <xf numFmtId="0" fontId="22" fillId="41" borderId="0" applyNumberFormat="0" applyBorder="0" applyAlignment="0" applyProtection="0">
      <alignment vertical="center"/>
    </xf>
    <xf numFmtId="0" fontId="23" fillId="18" borderId="0" applyNumberFormat="0" applyBorder="0" applyAlignment="0" applyProtection="0">
      <alignment vertical="center"/>
    </xf>
    <xf numFmtId="0" fontId="22" fillId="40" borderId="0" applyNumberFormat="0" applyBorder="0" applyAlignment="0" applyProtection="0">
      <alignment vertical="center"/>
    </xf>
    <xf numFmtId="0" fontId="23" fillId="17" borderId="0" applyNumberFormat="0" applyBorder="0" applyAlignment="0" applyProtection="0">
      <alignment vertical="center"/>
    </xf>
    <xf numFmtId="0" fontId="22" fillId="37" borderId="0" applyNumberFormat="0" applyBorder="0" applyAlignment="0" applyProtection="0">
      <alignment vertical="center"/>
    </xf>
    <xf numFmtId="0" fontId="23" fillId="43" borderId="0" applyNumberFormat="0" applyBorder="0" applyAlignment="0" applyProtection="0">
      <alignment vertical="center"/>
    </xf>
    <xf numFmtId="0" fontId="22" fillId="23" borderId="0" applyNumberFormat="0" applyBorder="0" applyAlignment="0" applyProtection="0">
      <alignment vertical="center"/>
    </xf>
    <xf numFmtId="0" fontId="23" fillId="22" borderId="0" applyNumberFormat="0" applyBorder="0" applyAlignment="0" applyProtection="0">
      <alignment vertical="center"/>
    </xf>
    <xf numFmtId="0" fontId="22" fillId="21" borderId="0" applyNumberFormat="0" applyBorder="0" applyAlignment="0" applyProtection="0">
      <alignment vertical="center"/>
    </xf>
    <xf numFmtId="0" fontId="23" fillId="26" borderId="0" applyNumberFormat="0" applyBorder="0" applyAlignment="0" applyProtection="0">
      <alignment vertical="center"/>
    </xf>
    <xf numFmtId="0" fontId="22" fillId="25" borderId="0" applyNumberFormat="0" applyBorder="0" applyAlignment="0" applyProtection="0">
      <alignment vertical="center"/>
    </xf>
    <xf numFmtId="0" fontId="23" fillId="16" borderId="0" applyNumberFormat="0" applyBorder="0" applyAlignment="0" applyProtection="0">
      <alignment vertical="center"/>
    </xf>
    <xf numFmtId="0" fontId="22" fillId="15" borderId="0" applyNumberFormat="0" applyBorder="0" applyAlignment="0" applyProtection="0">
      <alignment vertical="center"/>
    </xf>
    <xf numFmtId="0" fontId="23" fillId="36" borderId="0" applyNumberFormat="0" applyBorder="0" applyAlignment="0" applyProtection="0">
      <alignment vertical="center"/>
    </xf>
    <xf numFmtId="0" fontId="23" fillId="44" borderId="0" applyNumberFormat="0" applyBorder="0" applyAlignment="0" applyProtection="0">
      <alignment vertical="center"/>
    </xf>
  </cellStyleXfs>
  <cellXfs count="152">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horizontal="justify" wrapText="1"/>
    </xf>
    <xf numFmtId="181" fontId="2" fillId="0" borderId="0" xfId="0" applyNumberFormat="1" applyFont="1" applyFill="1" applyAlignment="1">
      <alignment horizontal="center" vertical="center"/>
    </xf>
    <xf numFmtId="0" fontId="2" fillId="0" borderId="0" xfId="0" applyFont="1" applyFill="1" applyAlignment="1"/>
    <xf numFmtId="181" fontId="2" fillId="0" borderId="0" xfId="0" applyNumberFormat="1" applyFont="1" applyFill="1" applyAlignment="1"/>
    <xf numFmtId="0" fontId="2" fillId="0" borderId="0" xfId="0" applyFont="1" applyFill="1" applyAlignment="1">
      <alignment horizontal="left"/>
    </xf>
    <xf numFmtId="0" fontId="3" fillId="3" borderId="0" xfId="0" applyFont="1" applyFill="1" applyAlignment="1">
      <alignment horizontal="center"/>
    </xf>
    <xf numFmtId="0" fontId="4" fillId="4" borderId="0" xfId="0" applyFont="1" applyFill="1" applyAlignment="1">
      <alignment horizontal="center" vertical="center" wrapText="1"/>
    </xf>
    <xf numFmtId="0" fontId="5" fillId="0" borderId="0" xfId="0" applyFont="1" applyAlignment="1">
      <alignment horizontal="center" vertical="center" wrapText="1"/>
    </xf>
    <xf numFmtId="0" fontId="3" fillId="0" borderId="0" xfId="0" applyFont="1" applyAlignment="1">
      <alignment horizontal="center" wrapText="1"/>
    </xf>
    <xf numFmtId="0" fontId="6" fillId="0" borderId="0" xfId="0" applyFont="1" applyAlignment="1">
      <alignment horizontal="justify" wrapText="1"/>
    </xf>
    <xf numFmtId="0" fontId="6" fillId="0" borderId="0" xfId="0" applyFont="1" applyAlignment="1">
      <alignment horizontal="center" vertical="center" wrapText="1"/>
    </xf>
    <xf numFmtId="179" fontId="0" fillId="0" borderId="0" xfId="0" applyNumberFormat="1" applyAlignment="1">
      <alignment horizontal="center" vertical="center"/>
    </xf>
    <xf numFmtId="0" fontId="7" fillId="3" borderId="0" xfId="0" applyFont="1" applyFill="1" applyAlignment="1">
      <alignment horizontal="center"/>
    </xf>
    <xf numFmtId="179" fontId="7" fillId="3" borderId="0" xfId="0" applyNumberFormat="1" applyFont="1" applyFill="1" applyAlignment="1">
      <alignment horizontal="center"/>
    </xf>
    <xf numFmtId="0" fontId="7" fillId="3" borderId="0" xfId="0" applyFont="1" applyFill="1" applyAlignment="1">
      <alignment horizontal="center" vertical="center"/>
    </xf>
    <xf numFmtId="179" fontId="7" fillId="3" borderId="0" xfId="0" applyNumberFormat="1" applyFont="1" applyFill="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8" fillId="5" borderId="0" xfId="0" applyFont="1" applyFill="1" applyBorder="1" applyAlignment="1">
      <alignment horizontal="center"/>
    </xf>
    <xf numFmtId="0" fontId="8" fillId="5" borderId="0" xfId="0" applyFont="1" applyFill="1" applyBorder="1" applyAlignment="1">
      <alignment horizontal="center" vertical="center" wrapText="1"/>
    </xf>
    <xf numFmtId="0" fontId="8" fillId="5" borderId="0" xfId="0" applyFont="1" applyFill="1" applyBorder="1" applyAlignment="1">
      <alignment horizontal="center" vertical="center"/>
    </xf>
    <xf numFmtId="0" fontId="9" fillId="6" borderId="0" xfId="0" applyFont="1" applyFill="1" applyAlignment="1">
      <alignment horizontal="center"/>
    </xf>
    <xf numFmtId="0" fontId="9" fillId="6" borderId="0" xfId="0" applyFont="1" applyFill="1" applyAlignment="1">
      <alignment horizontal="center" vertical="center" wrapText="1"/>
    </xf>
    <xf numFmtId="0" fontId="9" fillId="6" borderId="0" xfId="0" applyFont="1" applyFill="1" applyAlignment="1">
      <alignment horizontal="center" vertical="center"/>
    </xf>
    <xf numFmtId="0" fontId="10" fillId="7" borderId="0" xfId="0" applyFont="1" applyFill="1" applyAlignment="1">
      <alignment horizontal="center" vertical="center" wrapText="1"/>
    </xf>
    <xf numFmtId="0" fontId="11" fillId="0" borderId="0" xfId="0" applyFont="1" applyAlignment="1">
      <alignment horizontal="center" vertical="center" wrapText="1"/>
    </xf>
    <xf numFmtId="0" fontId="12" fillId="0" borderId="0" xfId="0" applyFont="1" applyAlignment="1">
      <alignment horizontal="justify" vertical="center" wrapText="1"/>
    </xf>
    <xf numFmtId="179" fontId="11" fillId="8" borderId="0" xfId="0" applyNumberFormat="1" applyFont="1" applyFill="1" applyAlignment="1">
      <alignment horizontal="center" vertical="center" wrapText="1"/>
    </xf>
    <xf numFmtId="179" fontId="11" fillId="0" borderId="0" xfId="0" applyNumberFormat="1" applyFont="1" applyAlignment="1">
      <alignment horizontal="center" vertical="center" wrapText="1"/>
    </xf>
    <xf numFmtId="0" fontId="6" fillId="0" borderId="0" xfId="0" applyFont="1" applyAlignment="1">
      <alignment horizontal="justify" vertical="center" wrapText="1"/>
    </xf>
    <xf numFmtId="0" fontId="12" fillId="0" borderId="0" xfId="0" applyFont="1" applyAlignment="1">
      <alignment horizontal="center" vertical="center" wrapText="1"/>
    </xf>
    <xf numFmtId="0" fontId="13" fillId="0" borderId="0" xfId="0" applyFont="1"/>
    <xf numFmtId="0" fontId="13" fillId="0" borderId="0" xfId="0" applyFont="1" applyAlignment="1">
      <alignment horizontal="center" vertical="center" wrapText="1"/>
    </xf>
    <xf numFmtId="0" fontId="13" fillId="0" borderId="0" xfId="0" applyFont="1" applyAlignment="1">
      <alignment horizontal="center" vertical="center"/>
    </xf>
    <xf numFmtId="0" fontId="9" fillId="5" borderId="0" xfId="0" applyFont="1" applyFill="1" applyBorder="1" applyAlignment="1">
      <alignment horizontal="center"/>
    </xf>
    <xf numFmtId="0" fontId="9" fillId="5" borderId="0" xfId="0" applyFont="1" applyFill="1" applyBorder="1" applyAlignment="1">
      <alignment horizontal="center" vertical="center" wrapText="1"/>
    </xf>
    <xf numFmtId="0" fontId="9" fillId="5" borderId="0" xfId="0" applyFont="1" applyFill="1" applyBorder="1" applyAlignment="1">
      <alignment horizontal="center" vertical="center"/>
    </xf>
    <xf numFmtId="0" fontId="9" fillId="7" borderId="0" xfId="0" applyFont="1" applyFill="1" applyAlignment="1">
      <alignment horizontal="center" vertical="center" wrapText="1"/>
    </xf>
    <xf numFmtId="179" fontId="3" fillId="3" borderId="0" xfId="0" applyNumberFormat="1" applyFont="1" applyFill="1" applyAlignment="1">
      <alignment horizontal="center"/>
    </xf>
    <xf numFmtId="0" fontId="11" fillId="0" borderId="0" xfId="0" applyFont="1"/>
    <xf numFmtId="0" fontId="14" fillId="9" borderId="4" xfId="0" applyFont="1" applyFill="1" applyBorder="1" applyAlignment="1">
      <alignment horizontal="center"/>
    </xf>
    <xf numFmtId="0" fontId="9" fillId="10" borderId="5" xfId="0" applyFont="1" applyFill="1" applyBorder="1" applyAlignment="1">
      <alignment horizontal="left" wrapText="1"/>
    </xf>
    <xf numFmtId="0" fontId="9" fillId="11" borderId="0" xfId="0" applyFont="1" applyFill="1" applyBorder="1" applyAlignment="1">
      <alignment horizontal="left" wrapText="1"/>
    </xf>
    <xf numFmtId="49" fontId="11" fillId="11" borderId="0" xfId="0" applyNumberFormat="1" applyFont="1" applyFill="1" applyBorder="1" applyAlignment="1">
      <alignment horizontal="left"/>
    </xf>
    <xf numFmtId="0" fontId="11" fillId="11" borderId="0" xfId="0" applyFont="1" applyFill="1" applyBorder="1" applyAlignment="1">
      <alignment horizontal="left"/>
    </xf>
    <xf numFmtId="0" fontId="9" fillId="0" borderId="0" xfId="0" applyFont="1" applyBorder="1" applyAlignment="1">
      <alignment horizontal="left" wrapText="1"/>
    </xf>
    <xf numFmtId="0" fontId="11" fillId="0" borderId="0" xfId="0" applyFont="1" applyBorder="1" applyAlignment="1">
      <alignment horizontal="left"/>
    </xf>
    <xf numFmtId="0" fontId="9" fillId="9" borderId="6" xfId="0" applyFont="1" applyFill="1" applyBorder="1" applyAlignment="1">
      <alignment horizontal="center"/>
    </xf>
    <xf numFmtId="0" fontId="11" fillId="10" borderId="7" xfId="0" applyFont="1" applyFill="1" applyBorder="1" applyAlignment="1">
      <alignment horizontal="center"/>
    </xf>
    <xf numFmtId="0" fontId="11" fillId="10" borderId="8" xfId="0" applyFont="1" applyFill="1" applyBorder="1"/>
    <xf numFmtId="0" fontId="11" fillId="12" borderId="8" xfId="0" applyFont="1" applyFill="1" applyBorder="1" applyAlignment="1">
      <alignment horizontal="center"/>
    </xf>
    <xf numFmtId="0" fontId="11" fillId="13" borderId="9" xfId="0" applyFont="1" applyFill="1" applyBorder="1" applyAlignment="1">
      <alignment horizontal="center"/>
    </xf>
    <xf numFmtId="0" fontId="11" fillId="13" borderId="10" xfId="0" applyFont="1" applyFill="1" applyBorder="1"/>
    <xf numFmtId="0" fontId="11" fillId="12" borderId="10" xfId="0" applyFont="1" applyFill="1" applyBorder="1" applyAlignment="1">
      <alignment horizontal="center"/>
    </xf>
    <xf numFmtId="0" fontId="11" fillId="10" borderId="9" xfId="0" applyFont="1" applyFill="1" applyBorder="1" applyAlignment="1">
      <alignment horizontal="center"/>
    </xf>
    <xf numFmtId="0" fontId="11" fillId="10" borderId="10" xfId="0" applyFont="1" applyFill="1" applyBorder="1"/>
    <xf numFmtId="0" fontId="9" fillId="9" borderId="4" xfId="0" applyFont="1" applyFill="1" applyBorder="1" applyAlignment="1">
      <alignment horizontal="center"/>
    </xf>
    <xf numFmtId="0" fontId="9" fillId="9" borderId="11" xfId="0" applyFont="1" applyFill="1" applyBorder="1" applyAlignment="1">
      <alignment horizontal="center" wrapText="1"/>
    </xf>
    <xf numFmtId="0" fontId="9" fillId="9" borderId="12" xfId="0" applyFont="1" applyFill="1" applyBorder="1" applyAlignment="1">
      <alignment horizontal="center"/>
    </xf>
    <xf numFmtId="0" fontId="11" fillId="10" borderId="10" xfId="0" applyFont="1" applyFill="1" applyBorder="1" applyAlignment="1">
      <alignment horizontal="center"/>
    </xf>
    <xf numFmtId="0" fontId="11" fillId="12" borderId="13" xfId="0" applyFont="1" applyFill="1" applyBorder="1" applyAlignment="1">
      <alignment horizontal="center"/>
    </xf>
    <xf numFmtId="0" fontId="11" fillId="13" borderId="10" xfId="0" applyFont="1" applyFill="1" applyBorder="1" applyAlignment="1">
      <alignment horizontal="center"/>
    </xf>
    <xf numFmtId="182" fontId="11" fillId="12" borderId="13" xfId="0" applyNumberFormat="1" applyFont="1" applyFill="1" applyBorder="1" applyAlignment="1">
      <alignment horizontal="center"/>
    </xf>
    <xf numFmtId="0" fontId="9" fillId="0" borderId="0" xfId="0" applyFont="1" applyBorder="1" applyAlignment="1">
      <alignment horizontal="center"/>
    </xf>
    <xf numFmtId="0" fontId="11" fillId="0" borderId="0" xfId="0" applyFont="1" applyAlignment="1">
      <alignment horizontal="center"/>
    </xf>
    <xf numFmtId="0" fontId="11" fillId="12" borderId="0" xfId="0" applyFont="1" applyFill="1" applyAlignment="1">
      <alignment horizontal="center"/>
    </xf>
    <xf numFmtId="182" fontId="11" fillId="12" borderId="0" xfId="0" applyNumberFormat="1" applyFont="1" applyFill="1" applyAlignment="1">
      <alignment horizontal="center"/>
    </xf>
    <xf numFmtId="49" fontId="11" fillId="12" borderId="0" xfId="0" applyNumberFormat="1" applyFont="1" applyFill="1" applyAlignment="1">
      <alignment horizontal="center"/>
    </xf>
    <xf numFmtId="10" fontId="11" fillId="0" borderId="0" xfId="0" applyNumberFormat="1" applyFont="1"/>
    <xf numFmtId="182" fontId="11" fillId="0" borderId="0" xfId="0" applyNumberFormat="1" applyFont="1" applyAlignment="1">
      <alignment horizontal="center"/>
    </xf>
    <xf numFmtId="0" fontId="9" fillId="9" borderId="0" xfId="0" applyFont="1" applyFill="1" applyBorder="1" applyAlignment="1">
      <alignment horizontal="center"/>
    </xf>
    <xf numFmtId="10" fontId="11" fillId="0" borderId="0" xfId="4" applyNumberFormat="1" applyFont="1" applyBorder="1" applyAlignment="1" applyProtection="1">
      <alignment horizontal="center"/>
    </xf>
    <xf numFmtId="0" fontId="11" fillId="0" borderId="0" xfId="0" applyFont="1" applyAlignment="1"/>
    <xf numFmtId="0" fontId="9" fillId="9" borderId="0" xfId="0" applyFont="1" applyFill="1" applyBorder="1" applyAlignment="1">
      <alignment horizontal="center" vertical="center"/>
    </xf>
    <xf numFmtId="0" fontId="9" fillId="10" borderId="8" xfId="0" applyFont="1" applyFill="1" applyBorder="1" applyAlignment="1">
      <alignment horizontal="center" vertical="center"/>
    </xf>
    <xf numFmtId="183" fontId="11" fillId="12" borderId="14" xfId="0" applyNumberFormat="1" applyFont="1" applyFill="1" applyBorder="1" applyAlignment="1">
      <alignment horizontal="center" vertical="center"/>
    </xf>
    <xf numFmtId="0" fontId="9" fillId="13" borderId="14" xfId="0" applyFont="1" applyFill="1" applyBorder="1" applyAlignment="1">
      <alignment horizontal="center" vertical="center"/>
    </xf>
    <xf numFmtId="183" fontId="9" fillId="12" borderId="14" xfId="0" applyNumberFormat="1" applyFont="1" applyFill="1" applyBorder="1" applyAlignment="1">
      <alignment horizontal="center" vertical="center"/>
    </xf>
    <xf numFmtId="10" fontId="11" fillId="0" borderId="0" xfId="0" applyNumberFormat="1" applyFont="1" applyAlignment="1">
      <alignment horizontal="center"/>
    </xf>
    <xf numFmtId="10" fontId="11" fillId="12" borderId="0" xfId="4" applyNumberFormat="1" applyFont="1" applyFill="1" applyBorder="1" applyAlignment="1" applyProtection="1">
      <alignment horizontal="center"/>
    </xf>
    <xf numFmtId="0" fontId="11" fillId="0" borderId="0" xfId="0" applyFont="1" applyAlignment="1">
      <alignment horizontal="center" vertical="center"/>
    </xf>
    <xf numFmtId="0" fontId="11" fillId="0" borderId="0" xfId="0" applyFont="1" applyAlignment="1">
      <alignment vertical="center"/>
    </xf>
    <xf numFmtId="182" fontId="11" fillId="12" borderId="0" xfId="0" applyNumberFormat="1" applyFont="1" applyFill="1" applyAlignment="1">
      <alignment horizontal="center" vertical="center"/>
    </xf>
    <xf numFmtId="182" fontId="0" fillId="12" borderId="0" xfId="0" applyNumberFormat="1" applyFill="1" applyAlignment="1">
      <alignment horizontal="center"/>
    </xf>
    <xf numFmtId="182" fontId="11" fillId="0" borderId="0" xfId="0" applyNumberFormat="1" applyFont="1" applyAlignment="1">
      <alignment horizontal="left" vertical="center"/>
    </xf>
    <xf numFmtId="10" fontId="11" fillId="0" borderId="0" xfId="4" applyNumberFormat="1" applyFont="1" applyBorder="1" applyAlignment="1" applyProtection="1">
      <alignment horizontal="center" vertical="center"/>
    </xf>
    <xf numFmtId="0" fontId="11" fillId="0" borderId="0" xfId="0" applyFont="1" applyAlignment="1">
      <alignment wrapText="1"/>
    </xf>
    <xf numFmtId="10" fontId="11" fillId="12" borderId="0" xfId="4" applyNumberFormat="1" applyFont="1" applyFill="1" applyBorder="1" applyAlignment="1" applyProtection="1">
      <alignment horizontal="center" vertical="center"/>
    </xf>
    <xf numFmtId="10" fontId="11" fillId="8" borderId="0" xfId="4" applyNumberFormat="1" applyFont="1" applyFill="1" applyBorder="1" applyAlignment="1" applyProtection="1">
      <alignment horizontal="center" vertical="center"/>
    </xf>
    <xf numFmtId="182" fontId="11" fillId="8" borderId="0" xfId="0" applyNumberFormat="1" applyFont="1" applyFill="1" applyAlignment="1">
      <alignment horizontal="center"/>
    </xf>
    <xf numFmtId="0" fontId="9" fillId="9" borderId="0" xfId="0" applyFont="1" applyFill="1" applyBorder="1" applyAlignment="1">
      <alignment horizontal="center" wrapText="1"/>
    </xf>
    <xf numFmtId="184" fontId="11" fillId="12" borderId="0" xfId="0" applyNumberFormat="1" applyFont="1" applyFill="1" applyAlignment="1">
      <alignment horizontal="center"/>
    </xf>
    <xf numFmtId="0" fontId="11" fillId="0" borderId="0" xfId="0" applyFont="1" applyAlignment="1">
      <alignment vertical="center" wrapText="1"/>
    </xf>
    <xf numFmtId="0" fontId="15" fillId="0" borderId="0" xfId="0" applyFont="1" applyAlignment="1">
      <alignment horizontal="center" vertical="center" wrapText="1"/>
    </xf>
    <xf numFmtId="182" fontId="15" fillId="0" borderId="0" xfId="0" applyNumberFormat="1" applyFont="1" applyAlignment="1">
      <alignment vertical="center"/>
    </xf>
    <xf numFmtId="182" fontId="15" fillId="0" borderId="0" xfId="0" applyNumberFormat="1" applyFont="1" applyAlignment="1">
      <alignment horizontal="center"/>
    </xf>
    <xf numFmtId="182" fontId="16" fillId="12" borderId="0" xfId="0" applyNumberFormat="1" applyFont="1" applyFill="1" applyAlignment="1">
      <alignment horizontal="center"/>
    </xf>
    <xf numFmtId="182" fontId="11" fillId="0" borderId="0" xfId="0" applyNumberFormat="1" applyFont="1" applyAlignment="1">
      <alignment horizontal="center" vertical="center"/>
    </xf>
    <xf numFmtId="0" fontId="9" fillId="9" borderId="12" xfId="0" applyFont="1" applyFill="1" applyBorder="1" applyAlignment="1">
      <alignment horizontal="center" vertical="center"/>
    </xf>
    <xf numFmtId="0" fontId="11" fillId="10" borderId="8" xfId="0" applyFont="1" applyFill="1" applyBorder="1" applyAlignment="1">
      <alignment horizontal="left" vertical="center"/>
    </xf>
    <xf numFmtId="0" fontId="11" fillId="13" borderId="14" xfId="0" applyFont="1" applyFill="1" applyBorder="1" applyAlignment="1">
      <alignment horizontal="left" vertical="center"/>
    </xf>
    <xf numFmtId="183" fontId="11" fillId="12" borderId="0" xfId="0" applyNumberFormat="1" applyFont="1" applyFill="1" applyAlignment="1">
      <alignment horizontal="center" vertical="center"/>
    </xf>
    <xf numFmtId="185" fontId="11" fillId="12" borderId="0" xfId="0" applyNumberFormat="1" applyFont="1" applyFill="1" applyAlignment="1">
      <alignment horizontal="center" vertical="center"/>
    </xf>
    <xf numFmtId="0" fontId="11" fillId="0" borderId="0" xfId="0" applyFont="1" applyAlignment="1">
      <alignment horizontal="right"/>
    </xf>
    <xf numFmtId="0" fontId="11" fillId="9" borderId="0" xfId="0" applyFont="1" applyFill="1"/>
    <xf numFmtId="0" fontId="9" fillId="9" borderId="0" xfId="0" applyFont="1" applyFill="1" applyAlignment="1">
      <alignment horizontal="center" vertical="center"/>
    </xf>
    <xf numFmtId="182" fontId="9" fillId="9" borderId="0" xfId="0" applyNumberFormat="1" applyFont="1" applyFill="1" applyAlignment="1">
      <alignment horizontal="center"/>
    </xf>
    <xf numFmtId="0" fontId="11" fillId="12" borderId="0" xfId="0" applyFont="1" applyFill="1" applyAlignment="1">
      <alignment horizontal="center" wrapText="1"/>
    </xf>
    <xf numFmtId="183" fontId="11" fillId="12" borderId="0" xfId="0" applyNumberFormat="1" applyFont="1" applyFill="1"/>
    <xf numFmtId="0" fontId="10" fillId="0" borderId="15" xfId="0" applyFont="1" applyBorder="1" applyAlignment="1">
      <alignment horizontal="center"/>
    </xf>
    <xf numFmtId="0" fontId="10" fillId="0" borderId="0" xfId="0" applyFont="1" applyBorder="1" applyAlignment="1">
      <alignment horizontal="center"/>
    </xf>
    <xf numFmtId="0" fontId="0" fillId="0" borderId="0" xfId="0" applyAlignment="1"/>
    <xf numFmtId="0" fontId="0" fillId="0" borderId="0" xfId="0" applyFont="1" applyAlignment="1">
      <alignment horizontal="center"/>
    </xf>
    <xf numFmtId="0" fontId="0" fillId="0" borderId="0" xfId="0" applyFont="1"/>
    <xf numFmtId="178" fontId="0" fillId="12" borderId="0" xfId="9" applyFont="1" applyFill="1" applyBorder="1" applyAlignment="1" applyProtection="1">
      <alignment horizontal="center"/>
    </xf>
    <xf numFmtId="186" fontId="0" fillId="12" borderId="0" xfId="0" applyNumberFormat="1" applyFill="1" applyAlignment="1">
      <alignment horizontal="center"/>
    </xf>
    <xf numFmtId="0" fontId="0" fillId="12" borderId="0" xfId="0" applyFill="1" applyAlignment="1">
      <alignment horizontal="center"/>
    </xf>
    <xf numFmtId="9" fontId="0" fillId="12" borderId="0" xfId="0" applyNumberFormat="1" applyFill="1" applyAlignment="1">
      <alignment horizontal="center"/>
    </xf>
    <xf numFmtId="0" fontId="17" fillId="9" borderId="6" xfId="0" applyFont="1" applyFill="1" applyBorder="1" applyAlignment="1">
      <alignment horizontal="center"/>
    </xf>
    <xf numFmtId="10" fontId="0" fillId="0" borderId="0" xfId="0" applyNumberFormat="1"/>
    <xf numFmtId="182" fontId="0" fillId="0" borderId="0" xfId="0" applyNumberFormat="1" applyAlignment="1">
      <alignment horizontal="center"/>
    </xf>
    <xf numFmtId="0" fontId="0" fillId="0" borderId="0" xfId="0" applyFont="1" applyAlignment="1"/>
    <xf numFmtId="10" fontId="0" fillId="12" borderId="0" xfId="4" applyNumberFormat="1" applyFont="1" applyFill="1" applyBorder="1" applyAlignment="1" applyProtection="1"/>
    <xf numFmtId="10" fontId="0" fillId="0" borderId="0" xfId="4" applyNumberFormat="1" applyFont="1" applyBorder="1" applyAlignment="1" applyProtection="1"/>
    <xf numFmtId="0" fontId="17" fillId="9" borderId="0" xfId="0" applyFont="1" applyFill="1" applyBorder="1" applyAlignment="1">
      <alignment horizontal="center"/>
    </xf>
    <xf numFmtId="0" fontId="10" fillId="0" borderId="0" xfId="0" applyFont="1" applyBorder="1" applyAlignment="1">
      <alignment horizontal="center" vertical="center"/>
    </xf>
    <xf numFmtId="0" fontId="10" fillId="0" borderId="0" xfId="0" applyFont="1" applyBorder="1" applyAlignment="1">
      <alignment vertical="center"/>
    </xf>
    <xf numFmtId="0" fontId="0" fillId="0" borderId="0" xfId="0" applyFont="1" applyAlignment="1">
      <alignment horizontal="center"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0" fontId="0" fillId="0" borderId="0" xfId="0" applyAlignment="1">
      <alignment vertical="center" wrapText="1"/>
    </xf>
    <xf numFmtId="10" fontId="0" fillId="0" borderId="0" xfId="4" applyNumberFormat="1" applyFont="1" applyBorder="1" applyAlignment="1" applyProtection="1">
      <alignment horizontal="center"/>
    </xf>
    <xf numFmtId="10" fontId="0" fillId="0" borderId="0" xfId="0" applyNumberFormat="1" applyAlignment="1">
      <alignment horizontal="center"/>
    </xf>
    <xf numFmtId="182" fontId="0" fillId="0" borderId="0" xfId="0" applyNumberFormat="1" applyFont="1" applyAlignment="1">
      <alignment horizontal="center" vertical="center" wrapText="1"/>
    </xf>
    <xf numFmtId="0" fontId="0" fillId="0" borderId="0" xfId="0" applyFont="1" applyAlignment="1">
      <alignment vertical="center"/>
    </xf>
    <xf numFmtId="0" fontId="17" fillId="9" borderId="0" xfId="0" applyFont="1" applyFill="1" applyBorder="1" applyAlignment="1">
      <alignment horizontal="center" wrapText="1"/>
    </xf>
    <xf numFmtId="0" fontId="0" fillId="0" borderId="0" xfId="0" applyAlignment="1">
      <alignment horizontal="center"/>
    </xf>
    <xf numFmtId="0" fontId="18" fillId="9" borderId="0" xfId="0" applyFont="1" applyFill="1"/>
    <xf numFmtId="182" fontId="18" fillId="9" borderId="0" xfId="0" applyNumberFormat="1" applyFont="1" applyFill="1" applyAlignment="1">
      <alignment horizontal="center"/>
    </xf>
    <xf numFmtId="0" fontId="10" fillId="14" borderId="16" xfId="0" applyFont="1" applyFill="1" applyBorder="1" applyAlignment="1">
      <alignment horizontal="center"/>
    </xf>
    <xf numFmtId="0" fontId="0" fillId="14" borderId="0" xfId="0" applyFont="1" applyFill="1" applyBorder="1" applyAlignment="1">
      <alignment horizontal="left" vertical="center" wrapText="1"/>
    </xf>
    <xf numFmtId="0" fontId="0" fillId="14" borderId="0" xfId="0" applyFont="1" applyFill="1" applyBorder="1" applyAlignment="1">
      <alignment horizontal="left" wrapText="1"/>
    </xf>
    <xf numFmtId="0" fontId="10" fillId="14" borderId="0" xfId="0" applyFont="1" applyFill="1" applyBorder="1" applyAlignment="1">
      <alignment horizontal="left" vertical="center" wrapText="1"/>
    </xf>
    <xf numFmtId="0" fontId="19" fillId="14" borderId="0" xfId="0" applyFont="1" applyFill="1" applyBorder="1" applyAlignment="1">
      <alignment horizontal="center"/>
    </xf>
    <xf numFmtId="0" fontId="0" fillId="14" borderId="0" xfId="0" applyFont="1" applyFill="1" applyBorder="1" applyAlignment="1">
      <alignment horizontal="center"/>
    </xf>
  </cellXfs>
  <cellStyles count="49">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60% - Ênfase 3" xfId="43" builtinId="40"/>
    <cellStyle name="20% - Ênfase 4" xfId="44" builtinId="42"/>
    <cellStyle name="60% - Ênfase 4" xfId="45" builtinId="44"/>
    <cellStyle name="40% - Ênfase 5" xfId="46" builtinId="47"/>
    <cellStyle name="60% - Ênfase 5" xfId="47" builtinId="48"/>
    <cellStyle name="60% - Ênfase 6" xfId="48" builtinId="52"/>
  </cellStyles>
  <dxfs count="193">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vertical="center" wrapText="1"/>
    </dxf>
    <dxf>
      <alignment wrapText="1"/>
    </dxf>
    <dxf>
      <alignment horizontal="center" vertical="center"/>
    </dxf>
    <dxf>
      <alignment wrapText="1"/>
    </dxf>
    <dxf>
      <alignment wrapText="1"/>
    </dxf>
    <dxf>
      <numFmt numFmtId="181" formatCode="&quot;R$&quot;\ #,##0.00_);[Red]\(&quot;R$&quot;\ #,##0.00\)"/>
      <alignment horizontal="center" vertical="center"/>
    </dxf>
    <dxf>
      <alignment wrapText="1"/>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9D18E"/>
      <rgbColor rgb="00808080"/>
      <rgbColor rgb="009999FF"/>
      <rgbColor rgb="00993366"/>
      <rgbColor rgb="00F2F2F2"/>
      <rgbColor rgb="00CCFFFF"/>
      <rgbColor rgb="00660066"/>
      <rgbColor rgb="00FF8080"/>
      <rgbColor rgb="000066CC"/>
      <rgbColor rgb="00C5E0B4"/>
      <rgbColor rgb="00000080"/>
      <rgbColor rgb="00FF00FF"/>
      <rgbColor rgb="00FFFF00"/>
      <rgbColor rgb="0000FFFF"/>
      <rgbColor rgb="00800080"/>
      <rgbColor rgb="00800000"/>
      <rgbColor rgb="00008080"/>
      <rgbColor rgb="000000FF"/>
      <rgbColor rgb="0000CCFF"/>
      <rgbColor rgb="00CCFFFF"/>
      <rgbColor rgb="00E2F0D9"/>
      <rgbColor rgb="00FFFF99"/>
      <rgbColor rgb="0099CCFF"/>
      <rgbColor rgb="00FF99CC"/>
      <rgbColor rgb="00CC99FF"/>
      <rgbColor rgb="00F4B183"/>
      <rgbColor rgb="003366FF"/>
      <rgbColor rgb="0033CCCC"/>
      <rgbColor rgb="0099CC00"/>
      <rgbColor rgb="00FFCC00"/>
      <rgbColor rgb="00FF9900"/>
      <rgbColor rgb="00FF6600"/>
      <rgbColor rgb="00666699"/>
      <rgbColor rgb="0070AD47"/>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ables/table1.xml><?xml version="1.0" encoding="utf-8"?>
<table xmlns="http://schemas.openxmlformats.org/spreadsheetml/2006/main" id="1" name="CITL" displayName="CITL" ref="F15:G20" totalsRowShown="0">
  <autoFilter ref="F15:G20"/>
  <tableColumns count="2">
    <tableColumn id="1" name="Descrição" dataDxfId="0"/>
    <tableColumn id="2" name="Percentual" dataDxfId="1"/>
  </tableColumns>
  <tableStyleInfo showFirstColumn="0" showLastColumn="0" showRowStripes="1" showColumnStripes="0"/>
</table>
</file>

<file path=xl/tables/table10.xml><?xml version="1.0" encoding="utf-8"?>
<table xmlns="http://schemas.openxmlformats.org/spreadsheetml/2006/main" id="16" name="ResumoPosto" displayName="ResumoPosto" ref="A140:D148" totalsRowShown="0">
  <autoFilter ref="A140:D148"/>
  <tableColumns count="4">
    <tableColumn id="1" name="Item" dataDxfId="30"/>
    <tableColumn id="2" name="Mão de obra vinculada à execução contratual" dataDxfId="31"/>
    <tableColumn id="3" name="-" dataDxfId="32"/>
    <tableColumn id="4" name="Valor" dataDxfId="33"/>
  </tableColumns>
  <tableStyleInfo showFirstColumn="0" showLastColumn="0" showRowStripes="1" showColumnStripes="0"/>
</table>
</file>

<file path=xl/tables/table11.xml><?xml version="1.0" encoding="utf-8"?>
<table xmlns="http://schemas.openxmlformats.org/spreadsheetml/2006/main" id="18" name="Submódulo2.1" displayName="Submódulo2.1" ref="A21:D24" totalsRowCount="1">
  <autoFilter ref="A21:D23"/>
  <tableColumns count="4">
    <tableColumn id="1" name="2.1" dataDxfId="34"/>
    <tableColumn id="2" name="13º (décimo terceiro) Salário, Férias e Adicional de Férias" dataDxfId="35"/>
    <tableColumn id="3" name="Comentário" dataDxfId="36"/>
    <tableColumn id="4" name="Valor" dataDxfId="37"/>
  </tableColumns>
  <tableStyleInfo showFirstColumn="0" showLastColumn="0" showRowStripes="1" showColumnStripes="0"/>
</table>
</file>

<file path=xl/tables/table12.xml><?xml version="1.0" encoding="utf-8"?>
<table xmlns="http://schemas.openxmlformats.org/spreadsheetml/2006/main" id="20" name="Submódulo2.2" displayName="Submódulo2.2" ref="A32:D41" totalsRowCount="1">
  <autoFilter ref="A32:D40"/>
  <tableColumns count="4">
    <tableColumn id="1" name="2.2" dataDxfId="38"/>
    <tableColumn id="2" name="GPS, FGTS e outras contribuições" dataDxfId="39"/>
    <tableColumn id="3" name="Percentual" dataDxfId="40"/>
    <tableColumn id="4" name="Valor " dataDxfId="41"/>
  </tableColumns>
  <tableStyleInfo showFirstColumn="0" showLastColumn="0" showRowStripes="1" showColumnStripes="0"/>
</table>
</file>

<file path=xl/tables/table13.xml><?xml version="1.0" encoding="utf-8"?>
<table xmlns="http://schemas.openxmlformats.org/spreadsheetml/2006/main" id="22" name="Submódulo2.3" displayName="Submódulo2.3" ref="A48:D53" totalsRowCount="1">
  <autoFilter ref="A48:D52"/>
  <tableColumns count="4">
    <tableColumn id="1" name="2.3" dataDxfId="42"/>
    <tableColumn id="2" name="Benefícios Mensais e Diários" dataDxfId="43"/>
    <tableColumn id="3" name="Comentário" dataDxfId="44"/>
    <tableColumn id="4" name="Valor" dataDxfId="45"/>
  </tableColumns>
  <tableStyleInfo showFirstColumn="0" showLastColumn="0" showRowStripes="1" showColumnStripes="0"/>
</table>
</file>

<file path=xl/tables/table14.xml><?xml version="1.0" encoding="utf-8"?>
<table xmlns="http://schemas.openxmlformats.org/spreadsheetml/2006/main" id="24" name="Submódulo4.1" displayName="Submódulo4.1" ref="A88:D95" totalsRowCount="1">
  <autoFilter ref="A88:D94"/>
  <tableColumns count="4">
    <tableColumn id="1" name="4.1" dataDxfId="46"/>
    <tableColumn id="2" name="Substituto nas Ausências Legais" dataDxfId="47"/>
    <tableColumn id="3" name="Dias de ausência" dataDxfId="48"/>
    <tableColumn id="4" name="Valor" dataDxfId="49"/>
  </tableColumns>
  <tableStyleInfo showFirstColumn="0" showLastColumn="0" showRowStripes="1" showColumnStripes="0"/>
</table>
</file>

<file path=xl/tables/table15.xml><?xml version="1.0" encoding="utf-8"?>
<table xmlns="http://schemas.openxmlformats.org/spreadsheetml/2006/main" id="26" name="Submódulo4.2" displayName="Submódulo4.2" ref="A103:D105" totalsRowCount="1">
  <autoFilter ref="A103:D104"/>
  <tableColumns count="4">
    <tableColumn id="1" name="4.2" dataDxfId="50"/>
    <tableColumn id="2" name="Substituto na Intrajornada " dataDxfId="51"/>
    <tableColumn id="3" name="Comentário" dataDxfId="52"/>
    <tableColumn id="4" name="Valor" dataDxfId="53"/>
  </tableColumns>
  <tableStyleInfo showFirstColumn="0" showLastColumn="0" showRowStripes="1" showColumnStripes="0"/>
</table>
</file>

<file path=xl/tables/table16.xml><?xml version="1.0" encoding="utf-8"?>
<table xmlns="http://schemas.openxmlformats.org/spreadsheetml/2006/main" id="28" name="Table4" displayName="Table4" ref="A2:D7" totalsRowShown="0">
  <tableColumns count="4">
    <tableColumn id="1" name="Item" dataDxfId="54"/>
    <tableColumn id="2" name="Descrição" dataDxfId="55"/>
    <tableColumn id="3" name="Comentário" dataDxfId="56"/>
    <tableColumn id="4" name="Valor" dataDxfId="57"/>
  </tableColumns>
  <tableStyleInfo showFirstColumn="0" showLastColumn="0" showRowStripes="1" showColumnStripes="0"/>
</table>
</file>

<file path=xl/tables/table17.xml><?xml version="1.0" encoding="utf-8"?>
<table xmlns="http://schemas.openxmlformats.org/spreadsheetml/2006/main" id="32" name="Table8" displayName="Table8" ref="A27:D29" totalsRowShown="0">
  <autoFilter ref="A27:D29"/>
  <tableColumns count="4">
    <tableColumn id="1" name="Item" dataDxfId="58"/>
    <tableColumn id="2" name="Rubrica" dataDxfId="59"/>
    <tableColumn id="3" name="Base de Cálculo" dataDxfId="60"/>
    <tableColumn id="4" name="Memória de Cálculo" dataDxfId="61"/>
  </tableColumns>
  <tableStyleInfo showFirstColumn="0" showLastColumn="0" showRowStripes="1" showColumnStripes="0"/>
</table>
</file>

<file path=xl/tables/table18.xml><?xml version="1.0" encoding="utf-8"?>
<table xmlns="http://schemas.openxmlformats.org/spreadsheetml/2006/main" id="33" name="Table839" displayName="Table839" ref="A44:D45" totalsRowShown="0">
  <autoFilter ref="A44:D45"/>
  <tableColumns count="4">
    <tableColumn id="1" name="Item" dataDxfId="62"/>
    <tableColumn id="2" name="Rubrica" dataDxfId="63"/>
    <tableColumn id="3" name="Base de Cálculo" dataDxfId="64"/>
    <tableColumn id="4" name="Memória de Cálculo" dataDxfId="65"/>
  </tableColumns>
  <tableStyleInfo showFirstColumn="0" showLastColumn="0" showRowStripes="1" showColumnStripes="0"/>
</table>
</file>

<file path=xl/tables/table19.xml><?xml version="1.0" encoding="utf-8"?>
<table xmlns="http://schemas.openxmlformats.org/spreadsheetml/2006/main" id="34" name="Table842" displayName="Table842" ref="A56:D58" totalsRowShown="0">
  <autoFilter ref="A56:D58"/>
  <tableColumns count="4">
    <tableColumn id="1" name="Item" dataDxfId="66"/>
    <tableColumn id="2" name="Rubrica" dataDxfId="67"/>
    <tableColumn id="3" name="Base de Cálculo" dataDxfId="68"/>
    <tableColumn id="4" name="Memória de Cálculo" dataDxfId="69"/>
  </tableColumns>
  <tableStyleInfo showFirstColumn="0" showLastColumn="0" showRowStripes="1" showColumnStripes="0"/>
</table>
</file>

<file path=xl/tables/table2.xml><?xml version="1.0" encoding="utf-8"?>
<table xmlns="http://schemas.openxmlformats.org/spreadsheetml/2006/main" id="2" name="DadosDesligamento" displayName="DadosDesligamento" ref="F9:G12" totalsRowShown="0">
  <autoFilter ref="F9:G12"/>
  <tableColumns count="2">
    <tableColumn id="1" name="Tipos" dataDxfId="2"/>
    <tableColumn id="2" name="Percentual" dataDxfId="3"/>
  </tableColumns>
  <tableStyleInfo showFirstColumn="0" showLastColumn="0" showRowStripes="1" showColumnStripes="0"/>
</table>
</file>

<file path=xl/tables/table20.xml><?xml version="1.0" encoding="utf-8"?>
<table xmlns="http://schemas.openxmlformats.org/spreadsheetml/2006/main" id="35" name="Table84237" displayName="Table84237" ref="A78:D84" totalsRowShown="0">
  <autoFilter ref="A78:D84"/>
  <tableColumns count="4">
    <tableColumn id="1" name="Item" dataDxfId="70"/>
    <tableColumn id="2" name="Rubrica" dataDxfId="71"/>
    <tableColumn id="3" name="Base de Cálculo" dataDxfId="72"/>
    <tableColumn id="4" name="Memória de Cálculo" dataDxfId="73"/>
  </tableColumns>
  <tableStyleInfo showFirstColumn="0" showLastColumn="0" showRowStripes="1" showColumnStripes="0"/>
</table>
</file>

<file path=xl/tables/table21.xml><?xml version="1.0" encoding="utf-8"?>
<table xmlns="http://schemas.openxmlformats.org/spreadsheetml/2006/main" id="36" name="Table84238" displayName="Table84238" ref="A98:D100" totalsRowShown="0">
  <autoFilter ref="A98:D100"/>
  <tableColumns count="4">
    <tableColumn id="1" name="Item" dataDxfId="74"/>
    <tableColumn id="2" name="Rubrica" dataDxfId="75"/>
    <tableColumn id="3" name="Base de Cálculo" dataDxfId="76"/>
    <tableColumn id="4" name="Memória de Cálculo" dataDxfId="77"/>
  </tableColumns>
  <tableStyleInfo showFirstColumn="0" showLastColumn="0" showRowStripes="1" showColumnStripes="0"/>
</table>
</file>

<file path=xl/tables/table22.xml><?xml version="1.0" encoding="utf-8"?>
<table xmlns="http://schemas.openxmlformats.org/spreadsheetml/2006/main" id="37" name="Table8423851" displayName="Table8423851" ref="A122:D126" totalsRowShown="0">
  <autoFilter ref="A122:D126"/>
  <tableColumns count="4">
    <tableColumn id="1" name="Item" dataDxfId="78"/>
    <tableColumn id="2" name="Rubrica" dataDxfId="79"/>
    <tableColumn id="3" name="Base de Cálculo" dataDxfId="80"/>
    <tableColumn id="4" name="Memória de Cálculo" dataDxfId="81"/>
  </tableColumns>
  <tableStyleInfo showFirstColumn="0" showLastColumn="0" showRowStripes="1" showColumnStripes="0"/>
</table>
</file>

<file path=xl/tables/table23.xml><?xml version="1.0" encoding="utf-8"?>
<table xmlns="http://schemas.openxmlformats.org/spreadsheetml/2006/main" id="9" name="ResumoPosto64_9010" displayName="ResumoPosto64_9010" ref="A139:D147" totalsRowShown="0">
  <autoFilter ref="A139:D147"/>
  <tableColumns count="4">
    <tableColumn id="1" name="Item" dataDxfId="82"/>
    <tableColumn id="2" name="Mão de obra vinculada à execução contratual" dataDxfId="83"/>
    <tableColumn id="3" name="-" dataDxfId="84"/>
    <tableColumn id="4" name="Valor" dataDxfId="85"/>
  </tableColumns>
  <tableStyleInfo showFirstColumn="0" showLastColumn="0" showRowStripes="1" showColumnStripes="0"/>
</table>
</file>

<file path=xl/tables/table24.xml><?xml version="1.0" encoding="utf-8"?>
<table xmlns="http://schemas.openxmlformats.org/spreadsheetml/2006/main" id="11" name="Submódulo2.154_8712" displayName="Submódulo2.154_8712" ref="A36:D39" totalsRowCount="1">
  <autoFilter ref="A36:D38"/>
  <tableColumns count="4">
    <tableColumn id="1" name="2.1" totalsRowLabel="Total" dataDxfId="86"/>
    <tableColumn id="2" name="13º (décimo terceiro) Salário, Férias e Adicional de Férias" dataDxfId="87"/>
    <tableColumn id="3" name="Percentual" dataDxfId="88"/>
    <tableColumn id="4" name="Valor" totalsRowFunction="custom">
      <totalsRowFormula>TRUNC((SUM(D37:D38)),2)</totalsRowFormula>
       dataDxfId="89"
    </tableColumn>
  </tableColumns>
  <tableStyleInfo showFirstColumn="0" showLastColumn="0" showRowStripes="1" showColumnStripes="0"/>
</table>
</file>

<file path=xl/tables/table25.xml><?xml version="1.0" encoding="utf-8"?>
<table xmlns="http://schemas.openxmlformats.org/spreadsheetml/2006/main" id="13" name="ResumoMódulo461_8814" displayName="ResumoMódulo461_8814" ref="A106:D109" totalsRowCount="1">
  <autoFilter ref="A106:D108"/>
  <tableColumns count="4">
    <tableColumn id="1" name="4" totalsRowLabel="Total" dataDxfId="90"/>
    <tableColumn id="2" name="Custo de Reposição do Profissional Ausente" dataDxfId="91"/>
    <tableColumn id="3" name="Comentário" totalsRowLabel="*Nota: Se o titular USUFRUIR do descanso intrajornada, o total é o somatório dos subitens 4.1 e 4.2" dataDxfId="92"/>
    <tableColumn id="4" name="Valor" totalsRowFunction="custom">
      <totalsRowFormula>TRUNC((SUM(D107:D108)),2)</totalsRowFormula>
       dataDxfId="93"
    </tableColumn>
  </tableColumns>
  <tableStyleInfo showFirstColumn="0" showLastColumn="0" showRowStripes="1" showColumnStripes="0"/>
</table>
</file>

<file path=xl/tables/table26.xml><?xml version="1.0" encoding="utf-8"?>
<table xmlns="http://schemas.openxmlformats.org/spreadsheetml/2006/main" id="15" name="Submódulo2.255_8916" displayName="Submódulo2.255_8916" ref="A46:D55" totalsRowCount="1">
  <autoFilter ref="A46:D54"/>
  <tableColumns count="4">
    <tableColumn id="1" name="2.2" totalsRowLabel="Total" dataDxfId="94"/>
    <tableColumn id="2" name="GPS, FGTS e outras contribuições" dataDxfId="95"/>
    <tableColumn id="3" name="Percentual" totalsRowFunction="custom">
      <totalsRowFormula>SUM(C47:C54)</totalsRowFormula>
       dataDxfId="96"
    </tableColumn>
    <tableColumn id="4" name="Valor " totalsRowFunction="custom">
      <totalsRowFormula>TRUNC((SUM(D47:D54)),2)</totalsRowFormula>
       dataDxfId="97"
    </tableColumn>
  </tableColumns>
  <tableStyleInfo showFirstColumn="0" showLastColumn="0" showRowStripes="1" showColumnStripes="0"/>
</table>
</file>

<file path=xl/tables/table27.xml><?xml version="1.0" encoding="utf-8"?>
<table xmlns="http://schemas.openxmlformats.org/spreadsheetml/2006/main" id="17" name="Submódulo4.159_8018" displayName="Submódulo4.159_8018" ref="A91:D98" totalsRowCount="1">
  <autoFilter ref="A91:D97"/>
  <tableColumns count="4">
    <tableColumn id="1" name="4.1" totalsRowLabel="Total" dataDxfId="98"/>
    <tableColumn id="2" name="Substituto nas Ausências Legais" dataDxfId="99"/>
    <tableColumn id="3" name="Percentual" totalsRowFunction="custom">
      <totalsRowFormula>SUM(C92:C97)</totalsRowFormula>
       dataDxfId="100"
    </tableColumn>
    <tableColumn id="4" name="Valor" totalsRowFunction="custom">
      <totalsRowFormula>TRUNC((SUM(D92:D97)),2)</totalsRowFormula>
       dataDxfId="101"
    </tableColumn>
  </tableColumns>
  <tableStyleInfo showFirstColumn="0" showLastColumn="0" showRowStripes="1" showColumnStripes="0"/>
</table>
</file>

<file path=xl/tables/table28.xml><?xml version="1.0" encoding="utf-8"?>
<table xmlns="http://schemas.openxmlformats.org/spreadsheetml/2006/main" id="19" name="Submódulo4.260_8120" displayName="Submódulo4.260_8120" ref="A101:D103" totalsRowCount="1">
  <autoFilter ref="A101:D102"/>
  <tableColumns count="4">
    <tableColumn id="1" name="4.2" totalsRowLabel="Total" dataDxfId="102"/>
    <tableColumn id="2" name="Substituto na Intrajornada " dataDxfId="103"/>
    <tableColumn id="3" name="Comentário" dataDxfId="104"/>
    <tableColumn id="4" name="Valor" totalsRowFunction="custom">
      <totalsRowFormula>D102</totalsRowFormula>
       dataDxfId="105"
    </tableColumn>
  </tableColumns>
  <tableStyleInfo showFirstColumn="0" showLastColumn="0" showRowStripes="1" showColumnStripes="0"/>
</table>
</file>

<file path=xl/tables/table29.xml><?xml version="1.0" encoding="utf-8"?>
<table xmlns="http://schemas.openxmlformats.org/spreadsheetml/2006/main" id="21" name="Table452_8222" displayName="Table452_8222" ref="A16:D21" totalsRowShown="0">
  <tableColumns count="4">
    <tableColumn id="1" name="Item" dataDxfId="106"/>
    <tableColumn id="2" name="Descrição" dataDxfId="107"/>
    <tableColumn id="3" name="Comentário" dataDxfId="108"/>
    <tableColumn id="4" name="Valor" dataDxfId="109"/>
  </tableColumns>
  <tableStyleInfo showFirstColumn="0" showLastColumn="0" showRowStripes="1" showColumnStripes="0"/>
</table>
</file>

<file path=xl/tables/table3.xml><?xml version="1.0" encoding="utf-8"?>
<table xmlns="http://schemas.openxmlformats.org/spreadsheetml/2006/main" id="3" name="DadosGerais" displayName="DadosGerais" ref="F2:G6" totalsRowShown="0">
  <autoFilter ref="F2:G6"/>
  <tableColumns count="2">
    <tableColumn id="1" name="Descrição" dataDxfId="4"/>
    <tableColumn id="2" name="Valor" dataDxfId="5"/>
  </tableColumns>
  <tableStyleInfo showFirstColumn="0" showLastColumn="0" showRowStripes="1" showColumnStripes="0"/>
</table>
</file>

<file path=xl/tables/table30.xml><?xml version="1.0" encoding="utf-8"?>
<table xmlns="http://schemas.openxmlformats.org/spreadsheetml/2006/main" id="23" name="Módulo562_8424" displayName="Módulo562_8424" ref="A112:D118" totalsRowCount="1">
  <autoFilter ref="A112:D117"/>
  <tableColumns count="4">
    <tableColumn id="1" name="5" totalsRowLabel="Total" dataDxfId="110"/>
    <tableColumn id="2" name="Insumos Diversos" dataDxfId="111"/>
    <tableColumn id="3" name="Comentário" dataDxfId="112"/>
    <tableColumn id="4" name="Valor" totalsRowFunction="custom">
      <totalsRowFormula>TRUNC(SUM((D113:D117)),2)</totalsRowFormula>
       dataDxfId="113"
    </tableColumn>
  </tableColumns>
  <tableStyleInfo showFirstColumn="0" showLastColumn="0" showRowStripes="1" showColumnStripes="0"/>
</table>
</file>

<file path=xl/tables/table31.xml><?xml version="1.0" encoding="utf-8"?>
<table xmlns="http://schemas.openxmlformats.org/spreadsheetml/2006/main" id="25" name="Módulo358_8326" displayName="Módulo358_8326" ref="A75:D82" totalsRowCount="1">
  <autoFilter ref="A75:D81"/>
  <tableColumns count="4">
    <tableColumn id="1" name="3" totalsRowLabel="Total" dataDxfId="114"/>
    <tableColumn id="2" name="Provisão para Rescisão" dataDxfId="115"/>
    <tableColumn id="3" name="Percentual" totalsRowFunction="custom">
      <totalsRowFormula>SUM(C76:C81)</totalsRowFormula>
       dataDxfId="116"
    </tableColumn>
    <tableColumn id="4" name="Valor" totalsRowFunction="custom">
      <totalsRowFormula>TRUNC((SUM(D76:D81)),2)</totalsRowFormula>
       dataDxfId="117"
    </tableColumn>
  </tableColumns>
  <tableStyleInfo showFirstColumn="0" showLastColumn="0" showRowStripes="1" showColumnStripes="0"/>
</table>
</file>

<file path=xl/tables/table32.xml><?xml version="1.0" encoding="utf-8"?>
<table xmlns="http://schemas.openxmlformats.org/spreadsheetml/2006/main" id="27" name="Módulo153_7828" displayName="Módulo153_7828" ref="A24:D31" totalsRowCount="1">
  <autoFilter ref="A24:D30"/>
  <tableColumns count="4">
    <tableColumn id="1" name="1" totalsRowLabel="Total" dataDxfId="118"/>
    <tableColumn id="2" name="Composição da Remuneração" dataDxfId="119"/>
    <tableColumn id="3" name="Comentário" dataDxfId="120"/>
    <tableColumn id="4" name="Valor" totalsRowFunction="custom">
      <totalsRowFormula>TRUNC(SUM(D25:D30),2)</totalsRowFormula>
       dataDxfId="121"
    </tableColumn>
  </tableColumns>
  <tableStyleInfo showFirstColumn="0" showLastColumn="0" showRowStripes="1" showColumnStripes="0"/>
</table>
</file>

<file path=xl/tables/table33.xml><?xml version="1.0" encoding="utf-8"?>
<table xmlns="http://schemas.openxmlformats.org/spreadsheetml/2006/main" id="29" name="ResumoMódulo257_8630" displayName="ResumoMódulo257_8630" ref="A68:D72" totalsRowCount="1">
  <autoFilter ref="A68:D71"/>
  <tableColumns count="4">
    <tableColumn id="1" name="2" totalsRowLabel="Total" dataDxfId="122"/>
    <tableColumn id="2" name="Encargos e Benefícios Anuais, Mensais e Diários" dataDxfId="123"/>
    <tableColumn id="3" name="Comentário" dataDxfId="124"/>
    <tableColumn id="4" name="Valor" totalsRowFunction="custom">
      <totalsRowFormula>TRUNC(SUM(D69:D71),2)</totalsRowFormula>
       dataDxfId="125"
    </tableColumn>
  </tableColumns>
  <tableStyleInfo showFirstColumn="0" showLastColumn="0" showRowStripes="1" showColumnStripes="0"/>
</table>
</file>

<file path=xl/tables/table34.xml><?xml version="1.0" encoding="utf-8"?>
<table xmlns="http://schemas.openxmlformats.org/spreadsheetml/2006/main" id="30" name="Submódulo2.356_7931" displayName="Submódulo2.356_7931" ref="A58:D65" totalsRowCount="1">
  <autoFilter ref="A58:D64"/>
  <tableColumns count="4">
    <tableColumn id="1" name="2.3" totalsRowLabel="Total" dataDxfId="126"/>
    <tableColumn id="2" name="Benefícios Mensais e Diários" dataDxfId="127"/>
    <tableColumn id="3" name="Comentário" dataDxfId="128"/>
    <tableColumn id="4" name="Valor" totalsRowFunction="custom">
      <totalsRowFormula>TRUNC((SUM(D59:D64)),2)</totalsRowFormula>
       dataDxfId="129"
    </tableColumn>
  </tableColumns>
  <tableStyleInfo showFirstColumn="0" showLastColumn="0" showRowStripes="1" showColumnStripes="0"/>
</table>
</file>

<file path=xl/tables/table35.xml><?xml version="1.0" encoding="utf-8"?>
<table xmlns="http://schemas.openxmlformats.org/spreadsheetml/2006/main" id="31" name="Módulo663_8532" displayName="Módulo663_8532" ref="A128:D135" totalsRowCount="1">
  <tableColumns count="4">
    <tableColumn id="1" name="6" totalsRowLabel="Total" dataDxfId="130"/>
    <tableColumn id="2" name="Custos Indiretos, Tributos e Lucro" dataDxfId="131"/>
    <tableColumn id="3" name="Percentual" dataDxfId="132"/>
    <tableColumn id="4" name="Valor" totalsRowFunction="custom">
      <totalsRowFormula>TRUNC(SUM(D129:D131),2)</totalsRowFormula>
       dataDxfId="133"
    </tableColumn>
  </tableColumns>
  <tableStyleInfo showFirstColumn="0" showLastColumn="0" showRowStripes="1" showColumnStripes="0"/>
</table>
</file>

<file path=xl/tables/table36.xml><?xml version="1.0" encoding="utf-8"?>
<table xmlns="http://schemas.openxmlformats.org/spreadsheetml/2006/main" id="90" name="Módulo562_842491" displayName="Módulo562_842491" ref="A112:D118" totalsRowCount="1">
  <autoFilter ref="A112:D117"/>
  <tableColumns count="4">
    <tableColumn id="1" name="5" totalsRowLabel="Total" dataDxfId="134"/>
    <tableColumn id="2" name="Insumos Diversos" dataDxfId="135"/>
    <tableColumn id="3" name="Comentário" dataDxfId="136"/>
    <tableColumn id="4" name="Valor" totalsRowFunction="custom">
      <totalsRowFormula>TRUNC(SUM((D113:D117)),2)</totalsRowFormula>
       dataDxfId="137"
    </tableColumn>
  </tableColumns>
  <tableStyleInfo showFirstColumn="0" showLastColumn="0" showRowStripes="1" showColumnStripes="0"/>
</table>
</file>

<file path=xl/tables/table37.xml><?xml version="1.0" encoding="utf-8"?>
<table xmlns="http://schemas.openxmlformats.org/spreadsheetml/2006/main" id="91" name="Submódulo2.255_891692" displayName="Submódulo2.255_891692" ref="A46:D55" totalsRowCount="1">
  <autoFilter ref="A46:D54"/>
  <tableColumns count="4">
    <tableColumn id="1" name="2.2" totalsRowLabel="Total" dataDxfId="138"/>
    <tableColumn id="2" name="GPS, FGTS e outras contribuições" dataDxfId="139"/>
    <tableColumn id="3" name="Percentual" totalsRowFunction="custom">
      <totalsRowFormula>SUM(C47:C54)</totalsRowFormula>
       dataDxfId="140"
    </tableColumn>
    <tableColumn id="4" name="Valor " totalsRowFunction="custom">
      <totalsRowFormula>TRUNC((SUM(D47:D54)),2)</totalsRowFormula>
       dataDxfId="141"
    </tableColumn>
  </tableColumns>
  <tableStyleInfo showFirstColumn="0" showLastColumn="0" showRowStripes="1" showColumnStripes="0"/>
</table>
</file>

<file path=xl/tables/table38.xml><?xml version="1.0" encoding="utf-8"?>
<table xmlns="http://schemas.openxmlformats.org/spreadsheetml/2006/main" id="92" name="Módulo663_853293" displayName="Módulo663_853293" ref="A128:D135" totalsRowCount="1">
  <tableColumns count="4">
    <tableColumn id="1" name="6" totalsRowLabel="Total" dataDxfId="142"/>
    <tableColumn id="2" name="Custos Indiretos, Tributos e Lucro" dataDxfId="143"/>
    <tableColumn id="3" name="Percentual" dataDxfId="144"/>
    <tableColumn id="4" name="Valor" totalsRowFunction="custom">
      <totalsRowFormula>TRUNC(SUM(D129:D131),2)</totalsRowFormula>
       dataDxfId="145"
    </tableColumn>
  </tableColumns>
  <tableStyleInfo showFirstColumn="0" showLastColumn="0" showRowStripes="1" showColumnStripes="0"/>
</table>
</file>

<file path=xl/tables/table39.xml><?xml version="1.0" encoding="utf-8"?>
<table xmlns="http://schemas.openxmlformats.org/spreadsheetml/2006/main" id="93" name="ResumoPosto64_901094" displayName="ResumoPosto64_901094" ref="A139:D147" totalsRowShown="0">
  <autoFilter ref="A139:D147"/>
  <tableColumns count="4">
    <tableColumn id="1" name="Item" dataDxfId="146"/>
    <tableColumn id="2" name="Mão de obra vinculada à execução contratual" dataDxfId="147"/>
    <tableColumn id="3" name="-" dataDxfId="148"/>
    <tableColumn id="4" name="Valor" dataDxfId="149"/>
  </tableColumns>
  <tableStyleInfo showFirstColumn="0" showLastColumn="0" showRowStripes="1" showColumnStripes="0"/>
</table>
</file>

<file path=xl/tables/table4.xml><?xml version="1.0" encoding="utf-8"?>
<table xmlns="http://schemas.openxmlformats.org/spreadsheetml/2006/main" id="4" name="Módulo1" displayName="Módulo1" ref="A10:D17" totalsRowCount="1">
  <autoFilter ref="A10:D16"/>
  <tableColumns count="4">
    <tableColumn id="1" name="1" dataDxfId="6"/>
    <tableColumn id="2" name="Composição da Remuneração" dataDxfId="7"/>
    <tableColumn id="3" name="Comentário" dataDxfId="8"/>
    <tableColumn id="4" name="Valor" dataDxfId="9"/>
  </tableColumns>
  <tableStyleInfo showFirstColumn="0" showLastColumn="0" showRowStripes="1" showColumnStripes="0"/>
</table>
</file>

<file path=xl/tables/table40.xml><?xml version="1.0" encoding="utf-8"?>
<table xmlns="http://schemas.openxmlformats.org/spreadsheetml/2006/main" id="94" name="ResumoMódulo461_881495" displayName="ResumoMódulo461_881495" ref="A106:D109" totalsRowCount="1">
  <autoFilter ref="A106:D108"/>
  <tableColumns count="4">
    <tableColumn id="1" name="4" totalsRowLabel="Total" dataDxfId="150"/>
    <tableColumn id="2" name="Custo de Reposição do Profissional Ausente" dataDxfId="151"/>
    <tableColumn id="3" name="Comentário" totalsRowLabel="*Nota: Se o titular USUFRUIR do descanso intrajornada, o total é o somatório dos subitens 4.1 e 4.2" dataDxfId="152"/>
    <tableColumn id="4" name="Valor" totalsRowFunction="custom">
      <totalsRowFormula>TRUNC((SUM(D107:D108)),2)</totalsRowFormula>
       dataDxfId="153"
    </tableColumn>
  </tableColumns>
  <tableStyleInfo showFirstColumn="0" showLastColumn="0" showRowStripes="1" showColumnStripes="0"/>
</table>
</file>

<file path=xl/tables/table41.xml><?xml version="1.0" encoding="utf-8"?>
<table xmlns="http://schemas.openxmlformats.org/spreadsheetml/2006/main" id="95" name="Módulo153_782896" displayName="Módulo153_782896" ref="A24:D31" totalsRowCount="1">
  <autoFilter ref="A24:D30"/>
  <tableColumns count="4">
    <tableColumn id="1" name="1" totalsRowLabel="Total" dataDxfId="154"/>
    <tableColumn id="2" name="Composição da Remuneração" dataDxfId="155"/>
    <tableColumn id="3" name="Comentário" dataDxfId="156"/>
    <tableColumn id="4" name="Valor" totalsRowFunction="custom">
      <totalsRowFormula>TRUNC(SUM(D25:D30),2)</totalsRowFormula>
       dataDxfId="157"
    </tableColumn>
  </tableColumns>
  <tableStyleInfo showFirstColumn="0" showLastColumn="0" showRowStripes="1" showColumnStripes="0"/>
</table>
</file>

<file path=xl/tables/table42.xml><?xml version="1.0" encoding="utf-8"?>
<table xmlns="http://schemas.openxmlformats.org/spreadsheetml/2006/main" id="96" name="Submódulo2.154_871297" displayName="Submódulo2.154_871297" ref="A36:D39" totalsRowCount="1">
  <autoFilter ref="A36:D38"/>
  <tableColumns count="4">
    <tableColumn id="1" name="2.1" totalsRowLabel="Total" dataDxfId="158"/>
    <tableColumn id="2" name="13º (décimo terceiro) Salário, Férias e Adicional de Férias" dataDxfId="159"/>
    <tableColumn id="3" name="Percentual" dataDxfId="160"/>
    <tableColumn id="4" name="Valor" totalsRowFunction="custom">
      <totalsRowFormula>TRUNC((SUM(D37:D38)),2)</totalsRowFormula>
       dataDxfId="161"
    </tableColumn>
  </tableColumns>
  <tableStyleInfo showFirstColumn="0" showLastColumn="0" showRowStripes="1" showColumnStripes="0"/>
</table>
</file>

<file path=xl/tables/table43.xml><?xml version="1.0" encoding="utf-8"?>
<table xmlns="http://schemas.openxmlformats.org/spreadsheetml/2006/main" id="97" name="Submódulo4.159_801898" displayName="Submódulo4.159_801898" ref="A91:D98" totalsRowCount="1">
  <autoFilter ref="A91:D97"/>
  <tableColumns count="4">
    <tableColumn id="1" name="4.1" totalsRowLabel="Total" dataDxfId="162"/>
    <tableColumn id="2" name="Substituto nas Ausências Legais" dataDxfId="163"/>
    <tableColumn id="3" name="Percentual" totalsRowFunction="custom">
      <totalsRowFormula>SUM(C92:C97)</totalsRowFormula>
       dataDxfId="164"
    </tableColumn>
    <tableColumn id="4" name="Valor" totalsRowFunction="custom">
      <totalsRowFormula>TRUNC((SUM(D92:D97)),2)</totalsRowFormula>
       dataDxfId="165"
    </tableColumn>
  </tableColumns>
  <tableStyleInfo showFirstColumn="0" showLastColumn="0" showRowStripes="1" showColumnStripes="0"/>
</table>
</file>

<file path=xl/tables/table44.xml><?xml version="1.0" encoding="utf-8"?>
<table xmlns="http://schemas.openxmlformats.org/spreadsheetml/2006/main" id="98" name="ResumoMódulo257_863099" displayName="ResumoMódulo257_863099" ref="A68:D72" totalsRowCount="1">
  <autoFilter ref="A68:D71"/>
  <tableColumns count="4">
    <tableColumn id="1" name="2" totalsRowLabel="Total" dataDxfId="166"/>
    <tableColumn id="2" name="Encargos e Benefícios Anuais, Mensais e Diários" dataDxfId="167"/>
    <tableColumn id="3" name="Comentário" dataDxfId="168"/>
    <tableColumn id="4" name="Valor" totalsRowFunction="custom">
      <totalsRowFormula>TRUNC(SUM(D69:D71),2)</totalsRowFormula>
       dataDxfId="169"
    </tableColumn>
  </tableColumns>
  <tableStyleInfo showFirstColumn="0" showLastColumn="0" showRowStripes="1" showColumnStripes="0"/>
</table>
</file>

<file path=xl/tables/table45.xml><?xml version="1.0" encoding="utf-8"?>
<table xmlns="http://schemas.openxmlformats.org/spreadsheetml/2006/main" id="99" name="Table452_8222100" displayName="Table452_8222100" ref="A16:D21" totalsRowShown="0">
  <tableColumns count="4">
    <tableColumn id="1" name="Item" dataDxfId="170"/>
    <tableColumn id="2" name="Descrição" dataDxfId="171"/>
    <tableColumn id="3" name="Comentário" dataDxfId="172"/>
    <tableColumn id="4" name="Valor" dataDxfId="173"/>
  </tableColumns>
  <tableStyleInfo showFirstColumn="0" showLastColumn="0" showRowStripes="1" showColumnStripes="0"/>
</table>
</file>

<file path=xl/tables/table46.xml><?xml version="1.0" encoding="utf-8"?>
<table xmlns="http://schemas.openxmlformats.org/spreadsheetml/2006/main" id="100" name="Submódulo2.356_7931101" displayName="Submódulo2.356_7931101" ref="A58:D65" totalsRowCount="1">
  <autoFilter ref="A58:D64"/>
  <tableColumns count="4">
    <tableColumn id="1" name="2.3" totalsRowLabel="Total" dataDxfId="174"/>
    <tableColumn id="2" name="Benefícios Mensais e Diários" dataDxfId="175"/>
    <tableColumn id="3" name="Comentário" dataDxfId="176"/>
    <tableColumn id="4" name="Valor" totalsRowFunction="custom">
      <totalsRowFormula>TRUNC((SUM(D59:D64)),2)</totalsRowFormula>
       dataDxfId="177"
    </tableColumn>
  </tableColumns>
  <tableStyleInfo showFirstColumn="0" showLastColumn="0" showRowStripes="1" showColumnStripes="0"/>
</table>
</file>

<file path=xl/tables/table47.xml><?xml version="1.0" encoding="utf-8"?>
<table xmlns="http://schemas.openxmlformats.org/spreadsheetml/2006/main" id="101" name="Submódulo4.260_8120102" displayName="Submódulo4.260_8120102" ref="A101:D103" totalsRowCount="1">
  <autoFilter ref="A101:D102"/>
  <tableColumns count="4">
    <tableColumn id="1" name="4.2" totalsRowLabel="Total" dataDxfId="178"/>
    <tableColumn id="2" name="Substituto na Intrajornada " dataDxfId="179"/>
    <tableColumn id="3" name="Comentário" dataDxfId="180"/>
    <tableColumn id="4" name="Valor" totalsRowFunction="custom">
      <totalsRowFormula>D102</totalsRowFormula>
       dataDxfId="181"
    </tableColumn>
  </tableColumns>
  <tableStyleInfo showFirstColumn="0" showLastColumn="0" showRowStripes="1" showColumnStripes="0"/>
</table>
</file>

<file path=xl/tables/table48.xml><?xml version="1.0" encoding="utf-8"?>
<table xmlns="http://schemas.openxmlformats.org/spreadsheetml/2006/main" id="102" name="Módulo358_8326103" displayName="Módulo358_8326103" ref="A75:D82" totalsRowCount="1">
  <autoFilter ref="A75:D81"/>
  <tableColumns count="4">
    <tableColumn id="1" name="3" totalsRowLabel="Total" dataDxfId="182"/>
    <tableColumn id="2" name="Provisão para Rescisão" dataDxfId="183"/>
    <tableColumn id="3" name="Percentual" totalsRowFunction="custom">
      <totalsRowFormula>SUM(C76:C81)</totalsRowFormula>
       dataDxfId="184"
    </tableColumn>
    <tableColumn id="4" name="Valor" totalsRowFunction="custom">
      <totalsRowFormula>TRUNC((SUM(D76:D81)),2)</totalsRowFormula>
       dataDxfId="185"
    </tableColumn>
  </tableColumns>
  <tableStyleInfo showFirstColumn="0" showLastColumn="0" showRowStripes="1" showColumnStripes="0"/>
</table>
</file>

<file path=xl/tables/table49.xml><?xml version="1.0" encoding="utf-8"?>
<table xmlns="http://schemas.openxmlformats.org/spreadsheetml/2006/main" id="7" name="Table39" displayName="Table39" ref="A2:G5" totalsRowCount="1">
  <tableColumns count="7">
    <tableColumn id="1" name="Item" totalsRowLabel="TOTAL" dataDxfId="186"/>
    <tableColumn id="2" name="Descrição" dataDxfId="187"/>
    <tableColumn id="7" name="Unidade" dataDxfId="188"/>
    <tableColumn id="3" name="Quantidade" dataDxfId="189"/>
    <tableColumn id="6" name="VIGÊNCIA " dataDxfId="190"/>
    <tableColumn id="4" name="VALOR UNITÁRIO MÁXIMO ACEITÁVEL" dataDxfId="191"/>
    <tableColumn id="5" name="VALOR TOTAL MÁXIMO ACEITÁVEL" totalsRowFunction="custom">
      <totalsRowFormula>SUM(G3:G4)</totalsRowFormula>
       dataDxfId="192"
    </tableColumn>
  </tableColumns>
  <tableStyleInfo name="TableStyleMedium14" showFirstColumn="0" showLastColumn="0" showRowStripes="1" showColumnStripes="0"/>
</table>
</file>

<file path=xl/tables/table5.xml><?xml version="1.0" encoding="utf-8"?>
<table xmlns="http://schemas.openxmlformats.org/spreadsheetml/2006/main" id="6" name="Módulo3" displayName="Módulo3" ref="A68:D75" totalsRowCount="1">
  <autoFilter ref="A68:D74"/>
  <tableColumns count="4">
    <tableColumn id="1" name="3" dataDxfId="10"/>
    <tableColumn id="2" name="Provisão para Rescisão" dataDxfId="11"/>
    <tableColumn id="3" name="Comentário" dataDxfId="12"/>
    <tableColumn id="4" name="Valor" dataDxfId="13"/>
  </tableColumns>
  <tableStyleInfo showFirstColumn="0" showLastColumn="0" showRowStripes="1" showColumnStripes="0"/>
</table>
</file>

<file path=xl/tables/table6.xml><?xml version="1.0" encoding="utf-8"?>
<table xmlns="http://schemas.openxmlformats.org/spreadsheetml/2006/main" id="8" name="Módulo5" displayName="Módulo5" ref="A114:D119" totalsRowCount="1">
  <autoFilter ref="A114:D118"/>
  <tableColumns count="4">
    <tableColumn id="1" name="5" dataDxfId="14"/>
    <tableColumn id="2" name="Insumos Diversos" dataDxfId="15"/>
    <tableColumn id="3" name="Comentário" dataDxfId="16"/>
    <tableColumn id="4" name="Valor" dataDxfId="17"/>
  </tableColumns>
  <tableStyleInfo showFirstColumn="0" showLastColumn="0" showRowStripes="1" showColumnStripes="0"/>
</table>
</file>

<file path=xl/tables/table7.xml><?xml version="1.0" encoding="utf-8"?>
<table xmlns="http://schemas.openxmlformats.org/spreadsheetml/2006/main" id="10" name="Módulo6" displayName="Módulo6" ref="A129:D136" totalsRowCount="1">
  <tableColumns count="4">
    <tableColumn id="1" name="6" dataDxfId="18"/>
    <tableColumn id="2" name="Custos Indiretos, Tributos e Lucro" dataDxfId="19"/>
    <tableColumn id="3" name="Percentual" dataDxfId="20"/>
    <tableColumn id="4" name="Valor" dataDxfId="21"/>
  </tableColumns>
  <tableStyleInfo showFirstColumn="0" showLastColumn="0" showRowStripes="1" showColumnStripes="0"/>
</table>
</file>

<file path=xl/tables/table8.xml><?xml version="1.0" encoding="utf-8"?>
<table xmlns="http://schemas.openxmlformats.org/spreadsheetml/2006/main" id="12" name="ResumoMódulo2" displayName="ResumoMódulo2" ref="A61:D65" totalsRowCount="1">
  <autoFilter ref="A61:D64"/>
  <tableColumns count="4">
    <tableColumn id="1" name="2" dataDxfId="22"/>
    <tableColumn id="2" name="Encargos e Benefícios Anuais, Mensais e Diários" dataDxfId="23"/>
    <tableColumn id="3" name="Comentário" dataDxfId="24"/>
    <tableColumn id="4" name="Valor" dataDxfId="25"/>
  </tableColumns>
  <tableStyleInfo showFirstColumn="0" showLastColumn="0" showRowStripes="1" showColumnStripes="0"/>
</table>
</file>

<file path=xl/tables/table9.xml><?xml version="1.0" encoding="utf-8"?>
<table xmlns="http://schemas.openxmlformats.org/spreadsheetml/2006/main" id="14" name="ResumoMódulo4" displayName="ResumoMódulo4" ref="A108:D111" totalsRowCount="1">
  <autoFilter ref="A108:D110"/>
  <tableColumns count="4">
    <tableColumn id="1" name="4" dataDxfId="26"/>
    <tableColumn id="2" name="Custo de Reposição do Profissional Ausente" dataDxfId="27"/>
    <tableColumn id="3" name="Comentário" dataDxfId="28"/>
    <tableColumn id="4" name="Valor" dataDxfId="29"/>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9" Type="http://schemas.openxmlformats.org/officeDocument/2006/relationships/table" Target="../tables/table31.xml"/><Relationship Id="rId8" Type="http://schemas.openxmlformats.org/officeDocument/2006/relationships/table" Target="../tables/table30.xml"/><Relationship Id="rId7" Type="http://schemas.openxmlformats.org/officeDocument/2006/relationships/table" Target="../tables/table29.xml"/><Relationship Id="rId6" Type="http://schemas.openxmlformats.org/officeDocument/2006/relationships/table" Target="../tables/table28.xml"/><Relationship Id="rId5" Type="http://schemas.openxmlformats.org/officeDocument/2006/relationships/table" Target="../tables/table27.xml"/><Relationship Id="rId4" Type="http://schemas.openxmlformats.org/officeDocument/2006/relationships/table" Target="../tables/table26.xml"/><Relationship Id="rId3" Type="http://schemas.openxmlformats.org/officeDocument/2006/relationships/table" Target="../tables/table25.xml"/><Relationship Id="rId2" Type="http://schemas.openxmlformats.org/officeDocument/2006/relationships/table" Target="../tables/table24.xml"/><Relationship Id="rId13" Type="http://schemas.openxmlformats.org/officeDocument/2006/relationships/table" Target="../tables/table35.xml"/><Relationship Id="rId12" Type="http://schemas.openxmlformats.org/officeDocument/2006/relationships/table" Target="../tables/table34.xml"/><Relationship Id="rId11" Type="http://schemas.openxmlformats.org/officeDocument/2006/relationships/table" Target="../tables/table33.xml"/><Relationship Id="rId10" Type="http://schemas.openxmlformats.org/officeDocument/2006/relationships/table" Target="../tables/table32.xml"/><Relationship Id="rId1" Type="http://schemas.openxmlformats.org/officeDocument/2006/relationships/table" Target="../tables/table23.xml"/></Relationships>
</file>

<file path=xl/worksheets/_rels/sheet4.xml.rels><?xml version="1.0" encoding="UTF-8" standalone="yes"?>
<Relationships xmlns="http://schemas.openxmlformats.org/package/2006/relationships"><Relationship Id="rId9" Type="http://schemas.openxmlformats.org/officeDocument/2006/relationships/table" Target="../tables/table44.xml"/><Relationship Id="rId8" Type="http://schemas.openxmlformats.org/officeDocument/2006/relationships/table" Target="../tables/table43.xml"/><Relationship Id="rId7" Type="http://schemas.openxmlformats.org/officeDocument/2006/relationships/table" Target="../tables/table42.xml"/><Relationship Id="rId6" Type="http://schemas.openxmlformats.org/officeDocument/2006/relationships/table" Target="../tables/table41.xml"/><Relationship Id="rId5" Type="http://schemas.openxmlformats.org/officeDocument/2006/relationships/table" Target="../tables/table40.xml"/><Relationship Id="rId4" Type="http://schemas.openxmlformats.org/officeDocument/2006/relationships/table" Target="../tables/table39.xml"/><Relationship Id="rId3" Type="http://schemas.openxmlformats.org/officeDocument/2006/relationships/table" Target="../tables/table38.xml"/><Relationship Id="rId2" Type="http://schemas.openxmlformats.org/officeDocument/2006/relationships/table" Target="../tables/table37.xml"/><Relationship Id="rId13" Type="http://schemas.openxmlformats.org/officeDocument/2006/relationships/table" Target="../tables/table48.xml"/><Relationship Id="rId12" Type="http://schemas.openxmlformats.org/officeDocument/2006/relationships/table" Target="../tables/table47.xml"/><Relationship Id="rId11" Type="http://schemas.openxmlformats.org/officeDocument/2006/relationships/table" Target="../tables/table46.xml"/><Relationship Id="rId10" Type="http://schemas.openxmlformats.org/officeDocument/2006/relationships/table" Target="../tables/table45.xml"/><Relationship Id="rId1" Type="http://schemas.openxmlformats.org/officeDocument/2006/relationships/table" Target="../tables/table36.xml"/></Relationships>
</file>

<file path=xl/worksheets/_rels/sheet7.xml.rels><?xml version="1.0" encoding="UTF-8" standalone="yes"?>
<Relationships xmlns="http://schemas.openxmlformats.org/package/2006/relationships"><Relationship Id="rId1" Type="http://schemas.openxmlformats.org/officeDocument/2006/relationships/table" Target="../tables/table4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showGridLines="0" workbookViewId="0">
      <selection activeCell="A1" sqref="A1:K1"/>
    </sheetView>
  </sheetViews>
  <sheetFormatPr defaultColWidth="9" defaultRowHeight="14.4"/>
  <cols>
    <col min="1" max="1025" width="9" customWidth="1"/>
  </cols>
  <sheetData>
    <row r="1" spans="1:11">
      <c r="A1" s="146" t="s">
        <v>0</v>
      </c>
      <c r="B1" s="146"/>
      <c r="C1" s="146"/>
      <c r="D1" s="146"/>
      <c r="E1" s="146"/>
      <c r="F1" s="146"/>
      <c r="G1" s="146"/>
      <c r="H1" s="146"/>
      <c r="I1" s="146"/>
      <c r="J1" s="146"/>
      <c r="K1" s="146"/>
    </row>
    <row r="2" ht="57" customHeight="1" spans="1:11">
      <c r="A2" s="147" t="s">
        <v>1</v>
      </c>
      <c r="B2" s="147"/>
      <c r="C2" s="147"/>
      <c r="D2" s="147"/>
      <c r="E2" s="147"/>
      <c r="F2" s="147"/>
      <c r="G2" s="147"/>
      <c r="H2" s="147"/>
      <c r="I2" s="147"/>
      <c r="J2" s="147"/>
      <c r="K2" s="147"/>
    </row>
    <row r="3" ht="51" customHeight="1" spans="1:11">
      <c r="A3" s="147" t="s">
        <v>2</v>
      </c>
      <c r="B3" s="147"/>
      <c r="C3" s="147"/>
      <c r="D3" s="147"/>
      <c r="E3" s="147"/>
      <c r="F3" s="147"/>
      <c r="G3" s="147"/>
      <c r="H3" s="147"/>
      <c r="I3" s="147"/>
      <c r="J3" s="147"/>
      <c r="K3" s="147"/>
    </row>
    <row r="4" ht="54.75" customHeight="1" spans="1:11">
      <c r="A4" s="147" t="s">
        <v>3</v>
      </c>
      <c r="B4" s="147"/>
      <c r="C4" s="147"/>
      <c r="D4" s="147"/>
      <c r="E4" s="147"/>
      <c r="F4" s="147"/>
      <c r="G4" s="147"/>
      <c r="H4" s="147"/>
      <c r="I4" s="147"/>
      <c r="J4" s="147"/>
      <c r="K4" s="147"/>
    </row>
    <row r="5" ht="67.5" customHeight="1" spans="1:11">
      <c r="A5" s="148" t="s">
        <v>4</v>
      </c>
      <c r="B5" s="148"/>
      <c r="C5" s="148"/>
      <c r="D5" s="148"/>
      <c r="E5" s="148"/>
      <c r="F5" s="148"/>
      <c r="G5" s="148"/>
      <c r="H5" s="148"/>
      <c r="I5" s="148"/>
      <c r="J5" s="148"/>
      <c r="K5" s="148"/>
    </row>
    <row r="6" ht="84.75" customHeight="1" spans="1:11">
      <c r="A6" s="148" t="s">
        <v>5</v>
      </c>
      <c r="B6" s="148"/>
      <c r="C6" s="148"/>
      <c r="D6" s="148"/>
      <c r="E6" s="148"/>
      <c r="F6" s="148"/>
      <c r="G6" s="148"/>
      <c r="H6" s="148"/>
      <c r="I6" s="148"/>
      <c r="J6" s="148"/>
      <c r="K6" s="148"/>
    </row>
    <row r="7" ht="49.5" customHeight="1" spans="1:11">
      <c r="A7" s="148" t="s">
        <v>6</v>
      </c>
      <c r="B7" s="148"/>
      <c r="C7" s="148"/>
      <c r="D7" s="148"/>
      <c r="E7" s="148"/>
      <c r="F7" s="148"/>
      <c r="G7" s="148"/>
      <c r="H7" s="148"/>
      <c r="I7" s="148"/>
      <c r="J7" s="148"/>
      <c r="K7" s="148"/>
    </row>
    <row r="8" ht="38.25" customHeight="1" spans="1:11">
      <c r="A8" s="148" t="s">
        <v>7</v>
      </c>
      <c r="B8" s="148"/>
      <c r="C8" s="148"/>
      <c r="D8" s="148"/>
      <c r="E8" s="148"/>
      <c r="F8" s="148"/>
      <c r="G8" s="148"/>
      <c r="H8" s="148"/>
      <c r="I8" s="148"/>
      <c r="J8" s="148"/>
      <c r="K8" s="148"/>
    </row>
    <row r="9" ht="39.75" customHeight="1" spans="1:11">
      <c r="A9" s="147" t="s">
        <v>8</v>
      </c>
      <c r="B9" s="147"/>
      <c r="C9" s="147"/>
      <c r="D9" s="147"/>
      <c r="E9" s="147"/>
      <c r="F9" s="147"/>
      <c r="G9" s="147"/>
      <c r="H9" s="147"/>
      <c r="I9" s="147"/>
      <c r="J9" s="147"/>
      <c r="K9" s="147"/>
    </row>
    <row r="10" ht="41.25" customHeight="1" spans="1:11">
      <c r="A10" s="147" t="s">
        <v>9</v>
      </c>
      <c r="B10" s="147"/>
      <c r="C10" s="147"/>
      <c r="D10" s="147"/>
      <c r="E10" s="147"/>
      <c r="F10" s="147"/>
      <c r="G10" s="147"/>
      <c r="H10" s="147"/>
      <c r="I10" s="147"/>
      <c r="J10" s="147"/>
      <c r="K10" s="147"/>
    </row>
    <row r="11" ht="41.25" customHeight="1" spans="1:11">
      <c r="A11" s="149" t="s">
        <v>10</v>
      </c>
      <c r="B11" s="149"/>
      <c r="C11" s="149"/>
      <c r="D11" s="149"/>
      <c r="E11" s="149"/>
      <c r="F11" s="149"/>
      <c r="G11" s="149"/>
      <c r="H11" s="149"/>
      <c r="I11" s="149"/>
      <c r="J11" s="149"/>
      <c r="K11" s="149"/>
    </row>
    <row r="12" spans="1:11">
      <c r="A12" s="150" t="s">
        <v>11</v>
      </c>
      <c r="B12" s="150"/>
      <c r="C12" s="150"/>
      <c r="D12" s="150"/>
      <c r="E12" s="150"/>
      <c r="F12" s="150"/>
      <c r="G12" s="150"/>
      <c r="H12" s="150"/>
      <c r="I12" s="150"/>
      <c r="J12" s="150"/>
      <c r="K12" s="150"/>
    </row>
    <row r="13" spans="1:11">
      <c r="A13" s="151" t="s">
        <v>12</v>
      </c>
      <c r="B13" s="151"/>
      <c r="C13" s="151"/>
      <c r="D13" s="151"/>
      <c r="E13" s="151"/>
      <c r="F13" s="151"/>
      <c r="G13" s="151"/>
      <c r="H13" s="151"/>
      <c r="I13" s="151"/>
      <c r="J13" s="151"/>
      <c r="K13" s="151"/>
    </row>
    <row r="14" spans="1:11">
      <c r="A14" s="151" t="s">
        <v>13</v>
      </c>
      <c r="B14" s="151"/>
      <c r="C14" s="151"/>
      <c r="D14" s="151"/>
      <c r="E14" s="151"/>
      <c r="F14" s="151"/>
      <c r="G14" s="151"/>
      <c r="H14" s="151"/>
      <c r="I14" s="151"/>
      <c r="J14" s="151"/>
      <c r="K14" s="151"/>
    </row>
  </sheetData>
  <sheetProtection sheet="1" objects="1" scenarios="1"/>
  <mergeCells count="14">
    <mergeCell ref="A1:K1"/>
    <mergeCell ref="A2:K2"/>
    <mergeCell ref="A3:K3"/>
    <mergeCell ref="A4:K4"/>
    <mergeCell ref="A5:K5"/>
    <mergeCell ref="A6:K6"/>
    <mergeCell ref="A7:K7"/>
    <mergeCell ref="A8:K8"/>
    <mergeCell ref="A9:K9"/>
    <mergeCell ref="A10:K10"/>
    <mergeCell ref="A11:K11"/>
    <mergeCell ref="A12:K12"/>
    <mergeCell ref="A13:K13"/>
    <mergeCell ref="A14:K14"/>
  </mergeCells>
  <pageMargins left="0.7" right="0.7" top="0.75" bottom="0.75" header="0.511805555555555" footer="0.511805555555555"/>
  <pageSetup paperSize="9" firstPageNumber="0" orientation="portrait" useFirstPageNumber="1"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48"/>
  <sheetViews>
    <sheetView showGridLines="0" zoomScale="85" zoomScaleNormal="85" workbookViewId="0">
      <selection activeCell="A1" sqref="A1:D1"/>
    </sheetView>
  </sheetViews>
  <sheetFormatPr defaultColWidth="9" defaultRowHeight="14.4"/>
  <cols>
    <col min="1" max="1" width="12.4166666666667" customWidth="1"/>
    <col min="2" max="2" width="76.4074074074074" customWidth="1"/>
    <col min="3" max="3" width="28.4166666666667" customWidth="1"/>
    <col min="4" max="4" width="27.4166666666667" customWidth="1"/>
    <col min="5" max="5" width="9" customWidth="1"/>
    <col min="6" max="6" width="32.712962962963" customWidth="1"/>
    <col min="7" max="7" width="13.0185185185185" customWidth="1"/>
    <col min="8" max="1025" width="9" customWidth="1"/>
  </cols>
  <sheetData>
    <row r="1" spans="1:21">
      <c r="A1" s="115" t="s">
        <v>14</v>
      </c>
      <c r="B1" s="115"/>
      <c r="C1" s="115"/>
      <c r="D1" s="115"/>
      <c r="F1" s="116" t="s">
        <v>15</v>
      </c>
      <c r="G1" s="116"/>
      <c r="H1" s="117"/>
      <c r="I1" s="117"/>
      <c r="J1" s="117"/>
      <c r="K1" s="117"/>
      <c r="L1" s="117"/>
      <c r="M1" s="117"/>
      <c r="N1" s="117"/>
      <c r="O1" s="117"/>
      <c r="P1" s="117"/>
      <c r="Q1" s="117"/>
      <c r="R1" s="117"/>
      <c r="S1" s="117"/>
      <c r="T1" s="117"/>
      <c r="U1" s="117"/>
    </row>
    <row r="2" spans="1:21">
      <c r="A2" s="118" t="s">
        <v>16</v>
      </c>
      <c r="B2" t="s">
        <v>17</v>
      </c>
      <c r="C2" s="118" t="s">
        <v>18</v>
      </c>
      <c r="D2" s="118" t="s">
        <v>19</v>
      </c>
      <c r="F2" s="119" t="s">
        <v>17</v>
      </c>
      <c r="G2" s="119" t="s">
        <v>19</v>
      </c>
      <c r="H2" s="117"/>
      <c r="I2" s="117"/>
      <c r="J2" s="117"/>
      <c r="K2" s="117"/>
      <c r="L2" s="117"/>
      <c r="M2" s="117"/>
      <c r="N2" s="117"/>
      <c r="O2" s="117"/>
      <c r="P2" s="117"/>
      <c r="Q2" s="117"/>
      <c r="R2" s="117"/>
      <c r="S2" s="117"/>
      <c r="T2" s="117"/>
      <c r="U2" s="117"/>
    </row>
    <row r="3" spans="1:21">
      <c r="A3" s="118">
        <v>1</v>
      </c>
      <c r="B3" t="s">
        <v>20</v>
      </c>
      <c r="C3" s="118"/>
      <c r="D3" s="118" t="s">
        <v>21</v>
      </c>
      <c r="F3" t="s">
        <v>22</v>
      </c>
      <c r="G3" s="120">
        <v>0</v>
      </c>
      <c r="H3" s="117"/>
      <c r="I3" s="117"/>
      <c r="J3" s="117"/>
      <c r="K3" s="117"/>
      <c r="L3" s="117"/>
      <c r="M3" s="117"/>
      <c r="N3" s="117"/>
      <c r="O3" s="117"/>
      <c r="P3" s="117"/>
      <c r="Q3" s="117"/>
      <c r="R3" s="117"/>
      <c r="S3" s="117"/>
      <c r="T3" s="117"/>
      <c r="U3" s="117"/>
    </row>
    <row r="4" spans="1:21">
      <c r="A4" s="118">
        <v>2</v>
      </c>
      <c r="B4" t="s">
        <v>23</v>
      </c>
      <c r="C4" s="118"/>
      <c r="D4" s="118" t="s">
        <v>24</v>
      </c>
      <c r="F4" t="s">
        <v>25</v>
      </c>
      <c r="G4" s="120">
        <v>12</v>
      </c>
      <c r="H4" s="117"/>
      <c r="I4" s="117"/>
      <c r="J4" s="117"/>
      <c r="K4" s="117"/>
      <c r="L4" s="117"/>
      <c r="M4" s="117"/>
      <c r="N4" s="117"/>
      <c r="O4" s="117"/>
      <c r="P4" s="117"/>
      <c r="Q4" s="117"/>
      <c r="R4" s="117"/>
      <c r="S4" s="117"/>
      <c r="T4" s="117"/>
      <c r="U4" s="117"/>
    </row>
    <row r="5" spans="1:21">
      <c r="A5" s="118">
        <v>3</v>
      </c>
      <c r="B5" t="s">
        <v>26</v>
      </c>
      <c r="C5" s="118" t="s">
        <v>27</v>
      </c>
      <c r="D5" s="121">
        <v>998</v>
      </c>
      <c r="F5" t="s">
        <v>28</v>
      </c>
      <c r="G5" s="122">
        <v>22</v>
      </c>
      <c r="H5" s="117"/>
      <c r="I5" s="117"/>
      <c r="J5" s="117"/>
      <c r="K5" s="117"/>
      <c r="L5" s="117"/>
      <c r="M5" s="117"/>
      <c r="N5" s="117"/>
      <c r="O5" s="117"/>
      <c r="P5" s="117"/>
      <c r="Q5" s="117"/>
      <c r="R5" s="117"/>
      <c r="S5" s="117"/>
      <c r="T5" s="117"/>
      <c r="U5" s="117"/>
    </row>
    <row r="6" spans="1:21">
      <c r="A6" s="118">
        <v>4</v>
      </c>
      <c r="B6" t="s">
        <v>29</v>
      </c>
      <c r="C6" s="118" t="s">
        <v>30</v>
      </c>
      <c r="D6" s="118" t="s">
        <v>31</v>
      </c>
      <c r="F6" t="s">
        <v>32</v>
      </c>
      <c r="G6" s="123">
        <v>0.03</v>
      </c>
      <c r="H6" s="117"/>
      <c r="I6" s="117"/>
      <c r="J6" s="117"/>
      <c r="K6" s="117"/>
      <c r="L6" s="117"/>
      <c r="M6" s="117"/>
      <c r="N6" s="117"/>
      <c r="O6" s="117"/>
      <c r="P6" s="117"/>
      <c r="Q6" s="117"/>
      <c r="R6" s="117"/>
      <c r="S6" s="117"/>
      <c r="T6" s="117"/>
      <c r="U6" s="117"/>
    </row>
    <row r="7" spans="1:21">
      <c r="A7" s="118">
        <v>5</v>
      </c>
      <c r="B7" t="s">
        <v>33</v>
      </c>
      <c r="C7" s="118"/>
      <c r="D7" s="118" t="s">
        <v>34</v>
      </c>
      <c r="H7" s="117"/>
      <c r="I7" s="117"/>
      <c r="J7" s="117"/>
      <c r="K7" s="117"/>
      <c r="L7" s="117"/>
      <c r="M7" s="117"/>
      <c r="N7" s="117"/>
      <c r="O7" s="117"/>
      <c r="P7" s="117"/>
      <c r="Q7" s="117"/>
      <c r="R7" s="117"/>
      <c r="S7" s="117"/>
      <c r="T7" s="117"/>
      <c r="U7" s="117"/>
    </row>
    <row r="8" spans="6:21">
      <c r="F8" s="116" t="s">
        <v>35</v>
      </c>
      <c r="G8" s="116"/>
      <c r="H8" s="117"/>
      <c r="I8" s="117"/>
      <c r="J8" s="117"/>
      <c r="K8" s="117"/>
      <c r="L8" s="117"/>
      <c r="M8" s="117"/>
      <c r="N8" s="117"/>
      <c r="O8" s="117"/>
      <c r="P8" s="117"/>
      <c r="Q8" s="117"/>
      <c r="R8" s="117"/>
      <c r="S8" s="117"/>
      <c r="T8" s="117"/>
      <c r="U8" s="117"/>
    </row>
    <row r="9" spans="1:21">
      <c r="A9" s="124" t="s">
        <v>36</v>
      </c>
      <c r="B9" s="124"/>
      <c r="C9" s="124"/>
      <c r="D9" s="124"/>
      <c r="F9" s="119" t="s">
        <v>37</v>
      </c>
      <c r="G9" s="119" t="s">
        <v>38</v>
      </c>
      <c r="H9" s="117"/>
      <c r="I9" s="117"/>
      <c r="J9" s="117"/>
      <c r="K9" s="117"/>
      <c r="L9" s="117"/>
      <c r="M9" s="117"/>
      <c r="N9" s="117"/>
      <c r="O9" s="117"/>
      <c r="P9" s="117"/>
      <c r="Q9" s="117"/>
      <c r="R9" s="117"/>
      <c r="S9" s="117"/>
      <c r="T9" s="117"/>
      <c r="U9" s="117"/>
    </row>
    <row r="10" spans="1:21">
      <c r="A10" s="118" t="s">
        <v>39</v>
      </c>
      <c r="B10" s="119" t="s">
        <v>40</v>
      </c>
      <c r="C10" s="118" t="s">
        <v>18</v>
      </c>
      <c r="D10" s="118" t="s">
        <v>19</v>
      </c>
      <c r="F10" t="s">
        <v>41</v>
      </c>
      <c r="G10" s="125">
        <v>0.4337</v>
      </c>
      <c r="H10" s="117"/>
      <c r="I10" s="117"/>
      <c r="J10" s="117"/>
      <c r="K10" s="117"/>
      <c r="L10" s="117"/>
      <c r="M10" s="117"/>
      <c r="N10" s="117"/>
      <c r="O10" s="117"/>
      <c r="P10" s="117"/>
      <c r="Q10" s="117"/>
      <c r="R10" s="117"/>
      <c r="S10" s="117"/>
      <c r="T10" s="117"/>
      <c r="U10" s="117"/>
    </row>
    <row r="11" spans="1:21">
      <c r="A11" s="118" t="s">
        <v>42</v>
      </c>
      <c r="B11" t="s">
        <v>43</v>
      </c>
      <c r="C11" s="118"/>
      <c r="D11" s="126">
        <f>Salário_Normativo_da_Categoria_Profissional</f>
        <v>998</v>
      </c>
      <c r="F11" t="s">
        <v>44</v>
      </c>
      <c r="G11" s="125">
        <v>0.4337</v>
      </c>
      <c r="H11" s="117"/>
      <c r="I11" s="117"/>
      <c r="J11" s="117"/>
      <c r="K11" s="117"/>
      <c r="L11" s="117"/>
      <c r="M11" s="117"/>
      <c r="N11" s="117"/>
      <c r="O11" s="117"/>
      <c r="P11" s="117"/>
      <c r="Q11" s="117"/>
      <c r="R11" s="117"/>
      <c r="S11" s="117"/>
      <c r="T11" s="117"/>
      <c r="U11" s="117"/>
    </row>
    <row r="12" spans="1:21">
      <c r="A12" s="118" t="s">
        <v>45</v>
      </c>
      <c r="B12" t="s">
        <v>46</v>
      </c>
      <c r="C12" s="118"/>
      <c r="D12" s="126"/>
      <c r="F12" t="s">
        <v>47</v>
      </c>
      <c r="G12" s="125">
        <v>0.0218</v>
      </c>
      <c r="H12" s="117"/>
      <c r="I12" s="117"/>
      <c r="J12" s="117"/>
      <c r="K12" s="117"/>
      <c r="L12" s="117"/>
      <c r="M12" s="117"/>
      <c r="N12" s="117"/>
      <c r="O12" s="117"/>
      <c r="P12" s="117"/>
      <c r="Q12" s="117"/>
      <c r="R12" s="117"/>
      <c r="S12" s="117"/>
      <c r="T12" s="117"/>
      <c r="U12" s="117"/>
    </row>
    <row r="13" spans="1:21">
      <c r="A13" s="118" t="s">
        <v>48</v>
      </c>
      <c r="B13" t="s">
        <v>49</v>
      </c>
      <c r="C13" s="118"/>
      <c r="D13" s="126"/>
      <c r="H13" s="117"/>
      <c r="I13" s="117"/>
      <c r="J13" s="117"/>
      <c r="K13" s="117"/>
      <c r="L13" s="117"/>
      <c r="M13" s="117"/>
      <c r="N13" s="117"/>
      <c r="O13" s="117"/>
      <c r="P13" s="117"/>
      <c r="Q13" s="117"/>
      <c r="R13" s="117"/>
      <c r="S13" s="117"/>
      <c r="T13" s="117"/>
      <c r="U13" s="117"/>
    </row>
    <row r="14" spans="1:21">
      <c r="A14" s="118" t="s">
        <v>50</v>
      </c>
      <c r="B14" t="s">
        <v>51</v>
      </c>
      <c r="C14" s="118"/>
      <c r="D14" s="126"/>
      <c r="F14" s="116" t="s">
        <v>52</v>
      </c>
      <c r="G14" s="116"/>
      <c r="H14" s="117"/>
      <c r="I14" s="117"/>
      <c r="J14" s="117"/>
      <c r="K14" s="117"/>
      <c r="L14" s="117"/>
      <c r="M14" s="117"/>
      <c r="N14" s="117"/>
      <c r="O14" s="117"/>
      <c r="P14" s="117"/>
      <c r="Q14" s="117"/>
      <c r="R14" s="117"/>
      <c r="S14" s="117"/>
      <c r="T14" s="117"/>
      <c r="U14" s="117"/>
    </row>
    <row r="15" spans="1:21">
      <c r="A15" s="118" t="s">
        <v>53</v>
      </c>
      <c r="B15" t="s">
        <v>54</v>
      </c>
      <c r="C15" s="118"/>
      <c r="D15" s="126"/>
      <c r="F15" s="127" t="s">
        <v>17</v>
      </c>
      <c r="G15" s="127" t="s">
        <v>38</v>
      </c>
      <c r="H15" s="117"/>
      <c r="I15" s="117"/>
      <c r="J15" s="117"/>
      <c r="K15" s="117"/>
      <c r="L15" s="117"/>
      <c r="M15" s="117"/>
      <c r="N15" s="117"/>
      <c r="O15" s="117"/>
      <c r="P15" s="117"/>
      <c r="Q15" s="117"/>
      <c r="R15" s="117"/>
      <c r="S15" s="117"/>
      <c r="T15" s="117"/>
      <c r="U15" s="117"/>
    </row>
    <row r="16" spans="1:21">
      <c r="A16" s="118" t="s">
        <v>55</v>
      </c>
      <c r="B16" t="s">
        <v>56</v>
      </c>
      <c r="C16" s="118"/>
      <c r="D16" s="126"/>
      <c r="F16" s="117" t="s">
        <v>57</v>
      </c>
      <c r="G16" s="128">
        <v>0.0471</v>
      </c>
      <c r="H16" s="117"/>
      <c r="I16" s="117"/>
      <c r="J16" s="117"/>
      <c r="K16" s="117"/>
      <c r="L16" s="117"/>
      <c r="M16" s="117"/>
      <c r="N16" s="117"/>
      <c r="O16" s="117"/>
      <c r="P16" s="117"/>
      <c r="Q16" s="117"/>
      <c r="R16" s="117"/>
      <c r="S16" s="117"/>
      <c r="T16" s="117"/>
      <c r="U16" s="117"/>
    </row>
    <row r="17" spans="1:21">
      <c r="A17" s="118" t="s">
        <v>58</v>
      </c>
      <c r="C17" s="118"/>
      <c r="D17" s="126">
        <f>SUBTOTAL(109,Módulo1[Valor])</f>
        <v>998</v>
      </c>
      <c r="F17" s="117" t="s">
        <v>59</v>
      </c>
      <c r="G17" s="128">
        <v>0.0467</v>
      </c>
      <c r="H17" s="117"/>
      <c r="I17" s="117"/>
      <c r="J17" s="117"/>
      <c r="K17" s="117"/>
      <c r="L17" s="117"/>
      <c r="M17" s="117"/>
      <c r="N17" s="117"/>
      <c r="O17" s="117"/>
      <c r="P17" s="117"/>
      <c r="Q17" s="117"/>
      <c r="R17" s="117"/>
      <c r="S17" s="117"/>
      <c r="T17" s="117"/>
      <c r="U17" s="117"/>
    </row>
    <row r="18" spans="6:21">
      <c r="F18" s="117" t="s">
        <v>60</v>
      </c>
      <c r="G18" s="129">
        <v>0.0165</v>
      </c>
      <c r="H18" s="117"/>
      <c r="I18" s="117"/>
      <c r="J18" s="117"/>
      <c r="K18" s="117"/>
      <c r="L18" s="117"/>
      <c r="M18" s="117"/>
      <c r="N18" s="117"/>
      <c r="O18" s="117"/>
      <c r="P18" s="117"/>
      <c r="Q18" s="117"/>
      <c r="R18" s="117"/>
      <c r="S18" s="117"/>
      <c r="T18" s="117"/>
      <c r="U18" s="117"/>
    </row>
    <row r="19" spans="1:21">
      <c r="A19" s="130" t="s">
        <v>61</v>
      </c>
      <c r="B19" s="130"/>
      <c r="C19" s="130"/>
      <c r="D19" s="130"/>
      <c r="F19" s="117" t="s">
        <v>62</v>
      </c>
      <c r="G19" s="129">
        <v>0.076</v>
      </c>
      <c r="H19" s="117"/>
      <c r="I19" s="117"/>
      <c r="J19" s="117"/>
      <c r="K19" s="117"/>
      <c r="L19" s="117"/>
      <c r="M19" s="117"/>
      <c r="N19" s="117"/>
      <c r="O19" s="117"/>
      <c r="P19" s="117"/>
      <c r="Q19" s="117"/>
      <c r="R19" s="117"/>
      <c r="S19" s="117"/>
      <c r="T19" s="117"/>
      <c r="U19" s="117"/>
    </row>
    <row r="20" spans="1:21">
      <c r="A20" s="116" t="s">
        <v>63</v>
      </c>
      <c r="B20" s="116"/>
      <c r="C20" s="116"/>
      <c r="D20" s="116"/>
      <c r="F20" s="117" t="s">
        <v>64</v>
      </c>
      <c r="G20" s="129">
        <v>0.05</v>
      </c>
      <c r="H20" s="117"/>
      <c r="I20" s="117"/>
      <c r="J20" s="117"/>
      <c r="K20" s="117"/>
      <c r="L20" s="117"/>
      <c r="M20" s="117"/>
      <c r="N20" s="117"/>
      <c r="O20" s="117"/>
      <c r="P20" s="117"/>
      <c r="Q20" s="117"/>
      <c r="R20" s="117"/>
      <c r="S20" s="117"/>
      <c r="T20" s="117"/>
      <c r="U20" s="117"/>
    </row>
    <row r="21" spans="1:21">
      <c r="A21" s="118" t="s">
        <v>65</v>
      </c>
      <c r="B21" s="119" t="s">
        <v>66</v>
      </c>
      <c r="C21" s="118" t="s">
        <v>18</v>
      </c>
      <c r="D21" s="118" t="s">
        <v>19</v>
      </c>
      <c r="F21" s="117"/>
      <c r="G21" s="117"/>
      <c r="H21" s="117"/>
      <c r="I21" s="117"/>
      <c r="J21" s="117"/>
      <c r="K21" s="117"/>
      <c r="L21" s="117"/>
      <c r="M21" s="117"/>
      <c r="N21" s="117"/>
      <c r="O21" s="117"/>
      <c r="P21" s="117"/>
      <c r="Q21" s="117"/>
      <c r="R21" s="117"/>
      <c r="S21" s="117"/>
      <c r="T21" s="117"/>
      <c r="U21" s="117"/>
    </row>
    <row r="22" spans="1:21">
      <c r="A22" s="118" t="s">
        <v>42</v>
      </c>
      <c r="B22" t="s">
        <v>67</v>
      </c>
      <c r="D22" s="126">
        <f>Módulo1[[#Totals],[Valor]]/12</f>
        <v>83.1666666666667</v>
      </c>
      <c r="F22" s="117"/>
      <c r="G22" s="117"/>
      <c r="H22" s="117"/>
      <c r="I22" s="117"/>
      <c r="J22" s="117"/>
      <c r="K22" s="117"/>
      <c r="L22" s="117"/>
      <c r="M22" s="117"/>
      <c r="N22" s="117"/>
      <c r="O22" s="117"/>
      <c r="P22" s="117"/>
      <c r="Q22" s="117"/>
      <c r="R22" s="117"/>
      <c r="S22" s="117"/>
      <c r="T22" s="117"/>
      <c r="U22" s="117"/>
    </row>
    <row r="23" spans="1:21">
      <c r="A23" s="118" t="s">
        <v>45</v>
      </c>
      <c r="B23" t="s">
        <v>68</v>
      </c>
      <c r="D23" s="126">
        <f>(Módulo1[[#Totals],[Valor]]/12)*(1+(1/3))</f>
        <v>110.888888888889</v>
      </c>
      <c r="F23" s="117"/>
      <c r="G23" s="117"/>
      <c r="H23" s="117"/>
      <c r="I23" s="117"/>
      <c r="J23" s="117"/>
      <c r="K23" s="117"/>
      <c r="L23" s="117"/>
      <c r="M23" s="117"/>
      <c r="N23" s="117"/>
      <c r="O23" s="117"/>
      <c r="P23" s="117"/>
      <c r="Q23" s="117"/>
      <c r="R23" s="117"/>
      <c r="S23" s="117"/>
      <c r="T23" s="117"/>
      <c r="U23" s="117"/>
    </row>
    <row r="24" spans="1:21">
      <c r="A24" s="118" t="s">
        <v>58</v>
      </c>
      <c r="D24" s="126">
        <f>SUBTOTAL(109,Submódulo2.1[Valor])</f>
        <v>194.055555555556</v>
      </c>
      <c r="F24" s="117"/>
      <c r="G24" s="117"/>
      <c r="H24" s="117"/>
      <c r="I24" s="117"/>
      <c r="J24" s="117"/>
      <c r="K24" s="117"/>
      <c r="L24" s="117"/>
      <c r="M24" s="117"/>
      <c r="N24" s="117"/>
      <c r="O24" s="117"/>
      <c r="P24" s="117"/>
      <c r="Q24" s="117"/>
      <c r="R24" s="117"/>
      <c r="S24" s="117"/>
      <c r="T24" s="117"/>
      <c r="U24" s="117"/>
    </row>
    <row r="25" spans="1:21">
      <c r="A25" s="118"/>
      <c r="D25" s="126"/>
      <c r="F25" s="117"/>
      <c r="G25" s="117"/>
      <c r="H25" s="117"/>
      <c r="I25" s="117"/>
      <c r="J25" s="117"/>
      <c r="K25" s="117"/>
      <c r="L25" s="117"/>
      <c r="M25" s="117"/>
      <c r="N25" s="117"/>
      <c r="O25" s="117"/>
      <c r="P25" s="117"/>
      <c r="Q25" s="117"/>
      <c r="R25" s="117"/>
      <c r="S25" s="117"/>
      <c r="T25" s="117"/>
      <c r="U25" s="117"/>
    </row>
    <row r="26" spans="1:21">
      <c r="A26" s="131" t="s">
        <v>69</v>
      </c>
      <c r="B26" s="131"/>
      <c r="C26" s="131"/>
      <c r="D26" s="131"/>
      <c r="F26" s="117"/>
      <c r="G26" s="117"/>
      <c r="H26" s="117"/>
      <c r="I26" s="117"/>
      <c r="J26" s="117"/>
      <c r="K26" s="117"/>
      <c r="L26" s="117"/>
      <c r="M26" s="117"/>
      <c r="N26" s="117"/>
      <c r="O26" s="117"/>
      <c r="P26" s="117"/>
      <c r="Q26" s="117"/>
      <c r="R26" s="117"/>
      <c r="S26" s="117"/>
      <c r="T26" s="117"/>
      <c r="U26" s="117"/>
    </row>
    <row r="27" spans="1:21">
      <c r="A27" s="131" t="s">
        <v>16</v>
      </c>
      <c r="B27" s="131" t="s">
        <v>70</v>
      </c>
      <c r="C27" s="131" t="s">
        <v>71</v>
      </c>
      <c r="D27" s="132" t="s">
        <v>72</v>
      </c>
      <c r="F27" s="117"/>
      <c r="G27" s="117"/>
      <c r="H27" s="117"/>
      <c r="I27" s="117"/>
      <c r="J27" s="117"/>
      <c r="K27" s="117"/>
      <c r="L27" s="117"/>
      <c r="M27" s="117"/>
      <c r="N27" s="117"/>
      <c r="O27" s="117"/>
      <c r="P27" s="117"/>
      <c r="Q27" s="117"/>
      <c r="R27" s="117"/>
      <c r="S27" s="117"/>
      <c r="T27" s="117"/>
      <c r="U27" s="117"/>
    </row>
    <row r="28" ht="28.8" spans="1:21">
      <c r="A28" s="133" t="s">
        <v>42</v>
      </c>
      <c r="B28" s="134" t="s">
        <v>73</v>
      </c>
      <c r="C28" s="135" t="s">
        <v>74</v>
      </c>
      <c r="D28" s="134" t="s">
        <v>75</v>
      </c>
      <c r="F28" s="117"/>
      <c r="G28" s="117"/>
      <c r="H28" s="117"/>
      <c r="I28" s="117"/>
      <c r="J28" s="117"/>
      <c r="K28" s="117"/>
      <c r="L28" s="117"/>
      <c r="M28" s="117"/>
      <c r="N28" s="117"/>
      <c r="O28" s="117"/>
      <c r="P28" s="117"/>
      <c r="Q28" s="117"/>
      <c r="R28" s="117"/>
      <c r="S28" s="117"/>
      <c r="T28" s="117"/>
      <c r="U28" s="117"/>
    </row>
    <row r="29" ht="28.8" spans="1:21">
      <c r="A29" s="133" t="s">
        <v>45</v>
      </c>
      <c r="B29" s="136" t="s">
        <v>68</v>
      </c>
      <c r="C29" s="135" t="s">
        <v>74</v>
      </c>
      <c r="D29" s="134" t="s">
        <v>76</v>
      </c>
      <c r="F29" s="117"/>
      <c r="G29" s="117"/>
      <c r="H29" s="117"/>
      <c r="I29" s="117"/>
      <c r="J29" s="117"/>
      <c r="K29" s="117"/>
      <c r="L29" s="117"/>
      <c r="M29" s="117"/>
      <c r="N29" s="117"/>
      <c r="O29" s="117"/>
      <c r="P29" s="117"/>
      <c r="Q29" s="117"/>
      <c r="R29" s="117"/>
      <c r="S29" s="117"/>
      <c r="T29" s="117"/>
      <c r="U29" s="117"/>
    </row>
    <row r="30" spans="1:21">
      <c r="A30" s="118"/>
      <c r="B30" s="118"/>
      <c r="C30" s="137"/>
      <c r="F30" s="117"/>
      <c r="G30" s="117"/>
      <c r="H30" s="117"/>
      <c r="I30" s="117"/>
      <c r="J30" s="117"/>
      <c r="K30" s="117"/>
      <c r="L30" s="117"/>
      <c r="M30" s="117"/>
      <c r="N30" s="117"/>
      <c r="O30" s="117"/>
      <c r="P30" s="117"/>
      <c r="Q30" s="117"/>
      <c r="R30" s="117"/>
      <c r="S30" s="117"/>
      <c r="T30" s="117"/>
      <c r="U30" s="117"/>
    </row>
    <row r="31" spans="1:4">
      <c r="A31" s="116" t="s">
        <v>77</v>
      </c>
      <c r="B31" s="116"/>
      <c r="C31" s="116"/>
      <c r="D31" s="116"/>
    </row>
    <row r="32" spans="1:4">
      <c r="A32" s="118" t="s">
        <v>78</v>
      </c>
      <c r="B32" s="119" t="s">
        <v>79</v>
      </c>
      <c r="C32" s="118" t="s">
        <v>38</v>
      </c>
      <c r="D32" s="118" t="s">
        <v>80</v>
      </c>
    </row>
    <row r="33" spans="1:4">
      <c r="A33" s="118" t="s">
        <v>42</v>
      </c>
      <c r="B33" t="s">
        <v>81</v>
      </c>
      <c r="C33" s="138">
        <v>0.2</v>
      </c>
      <c r="D33" s="126">
        <f>C33*(Módulo1[[#Totals],[Valor]]+Submódulo2.1[[#Totals],[Valor]])</f>
        <v>238.411111111111</v>
      </c>
    </row>
    <row r="34" spans="1:4">
      <c r="A34" s="118" t="s">
        <v>45</v>
      </c>
      <c r="B34" t="s">
        <v>82</v>
      </c>
      <c r="C34" s="138">
        <v>0.025</v>
      </c>
      <c r="D34" s="126">
        <f>C34*(Módulo1[[#Totals],[Valor]]+Submódulo2.1[[#Totals],[Valor]])</f>
        <v>29.8013888888889</v>
      </c>
    </row>
    <row r="35" spans="1:4">
      <c r="A35" s="118" t="s">
        <v>48</v>
      </c>
      <c r="B35" t="s">
        <v>83</v>
      </c>
      <c r="C35" s="138">
        <f>Servente!G6</f>
        <v>0.03</v>
      </c>
      <c r="D35" s="126">
        <f>C35*(Módulo1[[#Totals],[Valor]]+Submódulo2.1[[#Totals],[Valor]])</f>
        <v>35.7616666666667</v>
      </c>
    </row>
    <row r="36" spans="1:4">
      <c r="A36" s="118" t="s">
        <v>50</v>
      </c>
      <c r="B36" t="s">
        <v>84</v>
      </c>
      <c r="C36" s="138">
        <v>0.015</v>
      </c>
      <c r="D36" s="126">
        <f>C36*(Módulo1[[#Totals],[Valor]]+Submódulo2.1[[#Totals],[Valor]])</f>
        <v>17.8808333333333</v>
      </c>
    </row>
    <row r="37" spans="1:4">
      <c r="A37" s="118" t="s">
        <v>53</v>
      </c>
      <c r="B37" t="s">
        <v>85</v>
      </c>
      <c r="C37" s="138">
        <v>0.01</v>
      </c>
      <c r="D37" s="126">
        <f>C37*(Módulo1[[#Totals],[Valor]]+Submódulo2.1[[#Totals],[Valor]])</f>
        <v>11.9205555555556</v>
      </c>
    </row>
    <row r="38" spans="1:4">
      <c r="A38" s="118" t="s">
        <v>55</v>
      </c>
      <c r="B38" t="s">
        <v>86</v>
      </c>
      <c r="C38" s="138">
        <v>0.006</v>
      </c>
      <c r="D38" s="126">
        <f>C38*(Módulo1[[#Totals],[Valor]]+Submódulo2.1[[#Totals],[Valor]])</f>
        <v>7.15233333333333</v>
      </c>
    </row>
    <row r="39" spans="1:4">
      <c r="A39" s="118" t="s">
        <v>87</v>
      </c>
      <c r="B39" t="s">
        <v>88</v>
      </c>
      <c r="C39" s="138">
        <v>0.002</v>
      </c>
      <c r="D39" s="126">
        <f>C39*(Módulo1[[#Totals],[Valor]]+Submódulo2.1[[#Totals],[Valor]])</f>
        <v>2.38411111111111</v>
      </c>
    </row>
    <row r="40" spans="1:4">
      <c r="A40" s="118" t="s">
        <v>89</v>
      </c>
      <c r="B40" t="s">
        <v>90</v>
      </c>
      <c r="C40" s="138">
        <v>0.08</v>
      </c>
      <c r="D40" s="126">
        <f>C40*(Módulo1[[#Totals],[Valor]]+Submódulo2.1[[#Totals],[Valor]])</f>
        <v>95.3644444444445</v>
      </c>
    </row>
    <row r="41" spans="1:4">
      <c r="A41" s="118" t="s">
        <v>58</v>
      </c>
      <c r="C41" s="139">
        <f>SUBTOTAL(109,Submódulo2.2[Percentual])</f>
        <v>0.368</v>
      </c>
      <c r="D41" s="126">
        <f>SUBTOTAL(109,Submódulo2.2[Valor ])</f>
        <v>438.676444444444</v>
      </c>
    </row>
    <row r="42" spans="1:4">
      <c r="A42" s="118"/>
      <c r="C42" s="139"/>
      <c r="D42" s="126"/>
    </row>
    <row r="43" spans="1:4">
      <c r="A43" s="131" t="s">
        <v>91</v>
      </c>
      <c r="B43" s="131"/>
      <c r="C43" s="131"/>
      <c r="D43" s="131"/>
    </row>
    <row r="44" spans="1:4">
      <c r="A44" s="131" t="s">
        <v>16</v>
      </c>
      <c r="B44" s="131" t="s">
        <v>70</v>
      </c>
      <c r="C44" s="131" t="s">
        <v>71</v>
      </c>
      <c r="D44" s="132" t="s">
        <v>72</v>
      </c>
    </row>
    <row r="45" spans="1:4">
      <c r="A45" s="133" t="s">
        <v>92</v>
      </c>
      <c r="B45" s="134" t="s">
        <v>79</v>
      </c>
      <c r="C45" s="134" t="s">
        <v>93</v>
      </c>
      <c r="D45" s="134" t="s">
        <v>94</v>
      </c>
    </row>
    <row r="47" spans="1:4">
      <c r="A47" s="116" t="s">
        <v>95</v>
      </c>
      <c r="B47" s="116"/>
      <c r="C47" s="116"/>
      <c r="D47" s="116"/>
    </row>
    <row r="48" spans="1:4">
      <c r="A48" s="118" t="s">
        <v>96</v>
      </c>
      <c r="B48" s="119" t="s">
        <v>97</v>
      </c>
      <c r="C48" s="118" t="s">
        <v>18</v>
      </c>
      <c r="D48" s="118" t="s">
        <v>19</v>
      </c>
    </row>
    <row r="49" spans="1:4">
      <c r="A49" s="118" t="s">
        <v>42</v>
      </c>
      <c r="B49" t="s">
        <v>98</v>
      </c>
      <c r="D49" s="126">
        <f>IF(G3=0,0,(Servente!G3*2*Servente!G5)-(6%*_1A))</f>
        <v>0</v>
      </c>
    </row>
    <row r="50" spans="1:4">
      <c r="A50" s="118" t="s">
        <v>45</v>
      </c>
      <c r="B50" t="s">
        <v>99</v>
      </c>
      <c r="D50" s="126">
        <f>(Servente!G4*Servente!G5)*80%</f>
        <v>211.2</v>
      </c>
    </row>
    <row r="51" spans="1:4">
      <c r="A51" s="118" t="s">
        <v>48</v>
      </c>
      <c r="B51" t="s">
        <v>100</v>
      </c>
      <c r="D51" s="126"/>
    </row>
    <row r="52" spans="1:4">
      <c r="A52" s="118" t="s">
        <v>50</v>
      </c>
      <c r="B52" t="s">
        <v>56</v>
      </c>
      <c r="D52" s="126"/>
    </row>
    <row r="53" spans="1:4">
      <c r="A53" s="118" t="s">
        <v>58</v>
      </c>
      <c r="D53" s="126">
        <v>211.2</v>
      </c>
    </row>
    <row r="54" spans="1:4">
      <c r="A54" s="118"/>
      <c r="D54" s="126"/>
    </row>
    <row r="55" spans="1:4">
      <c r="A55" s="131" t="s">
        <v>101</v>
      </c>
      <c r="B55" s="131"/>
      <c r="C55" s="131"/>
      <c r="D55" s="131"/>
    </row>
    <row r="56" spans="1:4">
      <c r="A56" s="131" t="s">
        <v>16</v>
      </c>
      <c r="B56" s="131" t="s">
        <v>70</v>
      </c>
      <c r="C56" s="131" t="s">
        <v>71</v>
      </c>
      <c r="D56" s="131" t="s">
        <v>72</v>
      </c>
    </row>
    <row r="57" ht="43.2" spans="1:4">
      <c r="A57" s="133" t="s">
        <v>42</v>
      </c>
      <c r="B57" s="134" t="s">
        <v>98</v>
      </c>
      <c r="C57" s="135" t="s">
        <v>102</v>
      </c>
      <c r="D57" s="135" t="s">
        <v>103</v>
      </c>
    </row>
    <row r="58" ht="28.8" spans="1:4">
      <c r="A58" s="133" t="s">
        <v>45</v>
      </c>
      <c r="B58" s="136" t="s">
        <v>99</v>
      </c>
      <c r="C58" s="135" t="s">
        <v>102</v>
      </c>
      <c r="D58" s="135" t="s">
        <v>104</v>
      </c>
    </row>
    <row r="59" ht="19.5" customHeight="1" spans="1:4">
      <c r="A59" s="118"/>
      <c r="D59" s="126"/>
    </row>
    <row r="60" spans="1:4">
      <c r="A60" s="116" t="s">
        <v>105</v>
      </c>
      <c r="B60" s="116"/>
      <c r="C60" s="116"/>
      <c r="D60" s="116"/>
    </row>
    <row r="61" spans="1:4">
      <c r="A61" s="118" t="s">
        <v>106</v>
      </c>
      <c r="B61" s="119" t="s">
        <v>107</v>
      </c>
      <c r="C61" s="118" t="s">
        <v>18</v>
      </c>
      <c r="D61" s="118" t="s">
        <v>19</v>
      </c>
    </row>
    <row r="62" spans="1:4">
      <c r="A62" s="118" t="s">
        <v>65</v>
      </c>
      <c r="B62" t="s">
        <v>66</v>
      </c>
      <c r="C62" s="118"/>
      <c r="D62" s="126">
        <f>Submódulo2.1[[#Totals],[Valor]]</f>
        <v>194.055555555556</v>
      </c>
    </row>
    <row r="63" spans="1:4">
      <c r="A63" s="118" t="s">
        <v>78</v>
      </c>
      <c r="B63" t="s">
        <v>79</v>
      </c>
      <c r="C63" s="118"/>
      <c r="D63" s="126">
        <f>Submódulo2.2[[#Totals],[Valor ]]</f>
        <v>438.676444444444</v>
      </c>
    </row>
    <row r="64" spans="1:4">
      <c r="A64" s="118" t="s">
        <v>96</v>
      </c>
      <c r="B64" t="s">
        <v>97</v>
      </c>
      <c r="C64" s="118"/>
      <c r="D64" s="126">
        <f>Submódulo2.3[[#Totals],[Valor]]</f>
        <v>211.2</v>
      </c>
    </row>
    <row r="65" spans="1:4">
      <c r="A65" s="118" t="s">
        <v>58</v>
      </c>
      <c r="C65" s="118"/>
      <c r="D65" s="126">
        <v>843.932</v>
      </c>
    </row>
    <row r="67" spans="1:4">
      <c r="A67" s="124" t="s">
        <v>108</v>
      </c>
      <c r="B67" s="124"/>
      <c r="C67" s="124"/>
      <c r="D67" s="124"/>
    </row>
    <row r="68" spans="1:4">
      <c r="A68" s="118" t="s">
        <v>109</v>
      </c>
      <c r="B68" s="119" t="s">
        <v>110</v>
      </c>
      <c r="C68" s="118" t="s">
        <v>18</v>
      </c>
      <c r="D68" s="118" t="s">
        <v>19</v>
      </c>
    </row>
    <row r="69" spans="1:4">
      <c r="A69" s="118" t="s">
        <v>42</v>
      </c>
      <c r="B69" t="s">
        <v>111</v>
      </c>
      <c r="D69" s="126">
        <f>((Módulo1[[#Totals],[Valor]]+D62+D64)/12)*Servente!G10</f>
        <v>50.715994537037</v>
      </c>
    </row>
    <row r="70" spans="1:4">
      <c r="A70" s="118" t="s">
        <v>45</v>
      </c>
      <c r="B70" t="s">
        <v>112</v>
      </c>
      <c r="D70" s="126">
        <f>(D40/12)*Servente!G10</f>
        <v>3.44662996296296</v>
      </c>
    </row>
    <row r="71" spans="1:4">
      <c r="A71" s="118" t="s">
        <v>48</v>
      </c>
      <c r="B71" t="s">
        <v>113</v>
      </c>
      <c r="D71" s="126">
        <f>D40*50%*Servente!G10</f>
        <v>20.6797797777778</v>
      </c>
    </row>
    <row r="72" spans="1:4">
      <c r="A72" s="118" t="s">
        <v>50</v>
      </c>
      <c r="B72" t="s">
        <v>114</v>
      </c>
      <c r="D72" s="126">
        <f>((Módulo1[[#Totals],[Valor]]+ResumoMódulo2[[#Totals],[Valor]])/12)*Servente!G11</f>
        <v>66.5704923666667</v>
      </c>
    </row>
    <row r="73" spans="1:4">
      <c r="A73" s="118" t="s">
        <v>53</v>
      </c>
      <c r="B73" t="s">
        <v>115</v>
      </c>
      <c r="D73" s="126">
        <f>D40*50%*Servente!G11</f>
        <v>20.6797797777778</v>
      </c>
    </row>
    <row r="74" spans="1:4">
      <c r="A74" s="118" t="s">
        <v>55</v>
      </c>
      <c r="B74" t="s">
        <v>116</v>
      </c>
      <c r="D74" s="126">
        <f>-D62*Servente!G12</f>
        <v>-4.23041111111111</v>
      </c>
    </row>
    <row r="75" spans="1:4">
      <c r="A75" s="118" t="s">
        <v>58</v>
      </c>
      <c r="D75" s="126">
        <f>SUBTOTAL(109,Módulo3[Valor])</f>
        <v>157.862265311111</v>
      </c>
    </row>
    <row r="76" spans="1:4">
      <c r="A76" s="118"/>
      <c r="D76" s="126"/>
    </row>
    <row r="77" spans="1:4">
      <c r="A77" s="131" t="s">
        <v>117</v>
      </c>
      <c r="B77" s="131"/>
      <c r="C77" s="131"/>
      <c r="D77" s="131"/>
    </row>
    <row r="78" spans="1:4">
      <c r="A78" s="131" t="s">
        <v>16</v>
      </c>
      <c r="B78" s="131" t="s">
        <v>70</v>
      </c>
      <c r="C78" s="131" t="s">
        <v>71</v>
      </c>
      <c r="D78" s="131" t="s">
        <v>72</v>
      </c>
    </row>
    <row r="79" ht="57.6" spans="1:4">
      <c r="A79" s="133" t="s">
        <v>42</v>
      </c>
      <c r="B79" s="134" t="s">
        <v>111</v>
      </c>
      <c r="C79" s="135" t="s">
        <v>118</v>
      </c>
      <c r="D79" s="135" t="s">
        <v>119</v>
      </c>
    </row>
    <row r="80" ht="57.6" spans="1:4">
      <c r="A80" s="133" t="s">
        <v>45</v>
      </c>
      <c r="B80" s="136" t="s">
        <v>112</v>
      </c>
      <c r="C80" s="135" t="s">
        <v>120</v>
      </c>
      <c r="D80" s="135" t="s">
        <v>119</v>
      </c>
    </row>
    <row r="81" ht="72" spans="1:4">
      <c r="A81" s="133" t="s">
        <v>48</v>
      </c>
      <c r="B81" s="136" t="s">
        <v>113</v>
      </c>
      <c r="C81" s="135" t="s">
        <v>120</v>
      </c>
      <c r="D81" s="140" t="s">
        <v>121</v>
      </c>
    </row>
    <row r="82" ht="57.6" spans="1:4">
      <c r="A82" s="133" t="s">
        <v>50</v>
      </c>
      <c r="B82" s="141" t="s">
        <v>114</v>
      </c>
      <c r="C82" s="135" t="s">
        <v>122</v>
      </c>
      <c r="D82" s="140" t="s">
        <v>123</v>
      </c>
    </row>
    <row r="83" ht="72" spans="1:4">
      <c r="A83" s="133" t="s">
        <v>53</v>
      </c>
      <c r="B83" s="141" t="s">
        <v>115</v>
      </c>
      <c r="C83" s="135" t="s">
        <v>120</v>
      </c>
      <c r="D83" s="140" t="s">
        <v>124</v>
      </c>
    </row>
    <row r="84" ht="57.6" spans="1:4">
      <c r="A84" s="133" t="s">
        <v>55</v>
      </c>
      <c r="B84" s="141" t="s">
        <v>116</v>
      </c>
      <c r="C84" s="135" t="s">
        <v>125</v>
      </c>
      <c r="D84" s="140" t="s">
        <v>126</v>
      </c>
    </row>
    <row r="86" ht="15" customHeight="1" spans="1:4">
      <c r="A86" s="142" t="s">
        <v>127</v>
      </c>
      <c r="B86" s="142"/>
      <c r="C86" s="142"/>
      <c r="D86" s="142"/>
    </row>
    <row r="87" spans="1:4">
      <c r="A87" s="116" t="s">
        <v>128</v>
      </c>
      <c r="B87" s="116"/>
      <c r="C87" s="116"/>
      <c r="D87" s="116"/>
    </row>
    <row r="88" spans="1:4">
      <c r="A88" s="118" t="s">
        <v>129</v>
      </c>
      <c r="B88" s="119" t="s">
        <v>130</v>
      </c>
      <c r="C88" s="118" t="s">
        <v>131</v>
      </c>
      <c r="D88" s="118" t="s">
        <v>19</v>
      </c>
    </row>
    <row r="89" spans="1:4">
      <c r="A89" s="118" t="s">
        <v>42</v>
      </c>
      <c r="B89" t="s">
        <v>132</v>
      </c>
      <c r="C89" s="118">
        <v>20.71</v>
      </c>
      <c r="D89" s="126">
        <f>(((Módulo1[[#Totals],[Valor]]+ResumoMódulo2[[#Totals],[Valor]]+Módulo3[[#Totals],[Valor]])/30)*C89)/12</f>
        <v>115.043720096092</v>
      </c>
    </row>
    <row r="90" spans="1:4">
      <c r="A90" s="118" t="s">
        <v>45</v>
      </c>
      <c r="B90" t="s">
        <v>133</v>
      </c>
      <c r="C90" s="118">
        <v>1.4181</v>
      </c>
      <c r="D90" s="126">
        <f>(((Módulo1[[#Totals],[Valor]]+ResumoMódulo2[[#Totals],[Valor]]+Módulo3[[#Totals],[Valor]])/30)*C90)/12</f>
        <v>7.87752291010468</v>
      </c>
    </row>
    <row r="91" spans="1:4">
      <c r="A91" s="118" t="s">
        <v>48</v>
      </c>
      <c r="B91" t="s">
        <v>134</v>
      </c>
      <c r="C91" s="118">
        <v>0.1898</v>
      </c>
      <c r="D91" s="126">
        <f>(((Módulo1[[#Totals],[Valor]]+ResumoMódulo2[[#Totals],[Valor]]+Módulo3[[#Totals],[Valor]])/30)*C91)/12</f>
        <v>1.05433597654458</v>
      </c>
    </row>
    <row r="92" spans="1:4">
      <c r="A92" s="118" t="s">
        <v>50</v>
      </c>
      <c r="B92" t="s">
        <v>135</v>
      </c>
      <c r="C92" s="118">
        <v>0.9545</v>
      </c>
      <c r="D92" s="126">
        <f>(((Módulo1[[#Totals],[Valor]]+ResumoMódulo2[[#Totals],[Valor]]+Módulo3[[#Totals],[Valor]])/30)*C92)/12</f>
        <v>5.3022322951096</v>
      </c>
    </row>
    <row r="93" spans="1:4">
      <c r="A93" s="118" t="s">
        <v>53</v>
      </c>
      <c r="B93" t="s">
        <v>136</v>
      </c>
      <c r="C93" s="118">
        <v>2.4723</v>
      </c>
      <c r="D93" s="126">
        <f>(((Módulo1[[#Totals],[Valor]]+ResumoMódulo2[[#Totals],[Valor]]+Módulo3[[#Totals],[Valor]])/30)*C93)/12</f>
        <v>13.7335871170241</v>
      </c>
    </row>
    <row r="94" spans="1:4">
      <c r="A94" s="118" t="s">
        <v>55</v>
      </c>
      <c r="B94" t="s">
        <v>137</v>
      </c>
      <c r="C94" s="118">
        <v>3.4521</v>
      </c>
      <c r="D94" s="126">
        <f>(((Módulo1[[#Totals],[Valor]]+ResumoMódulo2[[#Totals],[Valor]]+Módulo3[[#Totals],[Valor]])/30)*C94)/12</f>
        <v>19.1763605091125</v>
      </c>
    </row>
    <row r="95" spans="1:4">
      <c r="A95" s="118" t="s">
        <v>58</v>
      </c>
      <c r="C95" s="118">
        <f>SUBTOTAL(109,Submódulo4.1[Dias de ausência])</f>
        <v>29.1968</v>
      </c>
      <c r="D95" s="126">
        <f>SUBTOTAL(109,Submódulo4.1[Valor])</f>
        <v>162.187758903987</v>
      </c>
    </row>
    <row r="96" spans="1:4">
      <c r="A96" s="118"/>
      <c r="C96" s="118"/>
      <c r="D96" s="126"/>
    </row>
    <row r="97" spans="1:4">
      <c r="A97" s="131" t="s">
        <v>138</v>
      </c>
      <c r="B97" s="131"/>
      <c r="C97" s="131"/>
      <c r="D97" s="131"/>
    </row>
    <row r="98" spans="1:4">
      <c r="A98" s="131" t="s">
        <v>16</v>
      </c>
      <c r="B98" s="131" t="s">
        <v>70</v>
      </c>
      <c r="C98" s="131" t="s">
        <v>71</v>
      </c>
      <c r="D98" s="131" t="s">
        <v>72</v>
      </c>
    </row>
    <row r="99" spans="1:4">
      <c r="A99" s="133" t="s">
        <v>139</v>
      </c>
      <c r="B99" s="134" t="s">
        <v>140</v>
      </c>
      <c r="C99" s="135"/>
      <c r="D99" s="135"/>
    </row>
    <row r="100" ht="43.2" spans="1:4">
      <c r="A100" s="133" t="s">
        <v>139</v>
      </c>
      <c r="B100" s="136" t="s">
        <v>141</v>
      </c>
      <c r="C100" s="135" t="s">
        <v>142</v>
      </c>
      <c r="D100" s="135" t="s">
        <v>143</v>
      </c>
    </row>
    <row r="101" spans="1:4">
      <c r="A101" s="118"/>
      <c r="C101" s="118"/>
      <c r="D101" s="126"/>
    </row>
    <row r="102" spans="1:4">
      <c r="A102" s="116" t="s">
        <v>144</v>
      </c>
      <c r="B102" s="116"/>
      <c r="C102" s="116"/>
      <c r="D102" s="116"/>
    </row>
    <row r="103" spans="1:4">
      <c r="A103" s="118" t="s">
        <v>145</v>
      </c>
      <c r="B103" s="119" t="s">
        <v>146</v>
      </c>
      <c r="C103" s="118" t="s">
        <v>18</v>
      </c>
      <c r="D103" s="118" t="s">
        <v>19</v>
      </c>
    </row>
    <row r="104" spans="1:4">
      <c r="A104" s="118" t="s">
        <v>42</v>
      </c>
      <c r="B104" t="s">
        <v>147</v>
      </c>
      <c r="C104" s="118"/>
      <c r="D104" s="126"/>
    </row>
    <row r="105" spans="1:4">
      <c r="A105" s="118" t="s">
        <v>58</v>
      </c>
      <c r="C105" s="118"/>
      <c r="D105" s="126">
        <f>SUBTOTAL(109,Submódulo4.2[Valor])</f>
        <v>0</v>
      </c>
    </row>
    <row r="107" spans="1:4">
      <c r="A107" s="116" t="s">
        <v>148</v>
      </c>
      <c r="B107" s="116"/>
      <c r="C107" s="116"/>
      <c r="D107" s="116"/>
    </row>
    <row r="108" spans="1:4">
      <c r="A108" s="118" t="s">
        <v>149</v>
      </c>
      <c r="B108" s="119" t="s">
        <v>150</v>
      </c>
      <c r="C108" s="118" t="s">
        <v>18</v>
      </c>
      <c r="D108" s="118" t="s">
        <v>19</v>
      </c>
    </row>
    <row r="109" spans="1:4">
      <c r="A109" s="118" t="s">
        <v>129</v>
      </c>
      <c r="B109" t="s">
        <v>130</v>
      </c>
      <c r="D109" s="126">
        <f>Submódulo4.1[[#Totals],[Valor]]</f>
        <v>162.187758903987</v>
      </c>
    </row>
    <row r="110" spans="1:4">
      <c r="A110" s="118" t="s">
        <v>145</v>
      </c>
      <c r="B110" t="s">
        <v>151</v>
      </c>
      <c r="D110" s="126">
        <f>Submódulo4.2[[#Totals],[Valor]]</f>
        <v>0</v>
      </c>
    </row>
    <row r="111" spans="1:4">
      <c r="A111" s="118" t="s">
        <v>58</v>
      </c>
      <c r="D111" s="126">
        <f>SUBTOTAL(109,ResumoMódulo4[Valor])</f>
        <v>162.187758903987</v>
      </c>
    </row>
    <row r="113" spans="1:4">
      <c r="A113" s="124" t="s">
        <v>152</v>
      </c>
      <c r="B113" s="124"/>
      <c r="C113" s="124"/>
      <c r="D113" s="124"/>
    </row>
    <row r="114" spans="1:4">
      <c r="A114" s="118" t="s">
        <v>153</v>
      </c>
      <c r="B114" s="119" t="s">
        <v>154</v>
      </c>
      <c r="C114" s="118" t="s">
        <v>18</v>
      </c>
      <c r="D114" s="118" t="s">
        <v>19</v>
      </c>
    </row>
    <row r="115" spans="1:4">
      <c r="A115" s="118" t="s">
        <v>42</v>
      </c>
      <c r="B115" t="s">
        <v>155</v>
      </c>
      <c r="D115" s="126" t="e">
        <f>#REF!</f>
        <v>#REF!</v>
      </c>
    </row>
    <row r="116" spans="1:4">
      <c r="A116" s="118" t="s">
        <v>45</v>
      </c>
      <c r="B116" t="s">
        <v>156</v>
      </c>
      <c r="D116" s="126" t="e">
        <f>#REF!/#REF!</f>
        <v>#REF!</v>
      </c>
    </row>
    <row r="117" spans="1:4">
      <c r="A117" s="118" t="s">
        <v>48</v>
      </c>
      <c r="B117" t="s">
        <v>157</v>
      </c>
      <c r="D117" s="126" t="e">
        <f>#REF!/#REF!</f>
        <v>#REF!</v>
      </c>
    </row>
    <row r="118" spans="1:4">
      <c r="A118" s="118" t="s">
        <v>50</v>
      </c>
      <c r="B118" t="s">
        <v>158</v>
      </c>
      <c r="D118" s="126"/>
    </row>
    <row r="119" spans="1:4">
      <c r="A119" s="118" t="s">
        <v>58</v>
      </c>
      <c r="D119" s="126" t="e">
        <f>SUBTOTAL(109,Módulo5[Valor])</f>
        <v>#REF!</v>
      </c>
    </row>
    <row r="120" spans="1:4">
      <c r="A120" s="118"/>
      <c r="D120" s="126"/>
    </row>
    <row r="121" spans="1:4">
      <c r="A121" s="131" t="s">
        <v>159</v>
      </c>
      <c r="B121" s="131"/>
      <c r="C121" s="131"/>
      <c r="D121" s="131"/>
    </row>
    <row r="122" spans="1:4">
      <c r="A122" s="131" t="s">
        <v>16</v>
      </c>
      <c r="B122" s="131" t="s">
        <v>70</v>
      </c>
      <c r="C122" s="131" t="s">
        <v>71</v>
      </c>
      <c r="D122" s="131" t="s">
        <v>72</v>
      </c>
    </row>
    <row r="123" spans="1:4">
      <c r="A123" s="133" t="s">
        <v>42</v>
      </c>
      <c r="B123" s="134" t="s">
        <v>155</v>
      </c>
      <c r="C123" s="135" t="s">
        <v>160</v>
      </c>
      <c r="D123" s="135"/>
    </row>
    <row r="124" ht="28.8" spans="1:4">
      <c r="A124" s="133" t="s">
        <v>45</v>
      </c>
      <c r="B124" s="136" t="s">
        <v>156</v>
      </c>
      <c r="C124" s="135" t="s">
        <v>161</v>
      </c>
      <c r="D124" s="135" t="s">
        <v>162</v>
      </c>
    </row>
    <row r="125" ht="28.8" spans="1:4">
      <c r="A125" s="133" t="s">
        <v>48</v>
      </c>
      <c r="B125" s="136" t="s">
        <v>157</v>
      </c>
      <c r="C125" s="135" t="s">
        <v>163</v>
      </c>
      <c r="D125" s="135" t="s">
        <v>162</v>
      </c>
    </row>
    <row r="126" spans="1:4">
      <c r="A126" s="133" t="s">
        <v>50</v>
      </c>
      <c r="B126" s="136" t="s">
        <v>158</v>
      </c>
      <c r="C126" s="135"/>
      <c r="D126" s="135"/>
    </row>
    <row r="128" spans="1:4">
      <c r="A128" s="124" t="s">
        <v>164</v>
      </c>
      <c r="B128" s="124"/>
      <c r="C128" s="124"/>
      <c r="D128" s="124"/>
    </row>
    <row r="129" outlineLevel="1" spans="1:4">
      <c r="A129" s="118" t="s">
        <v>165</v>
      </c>
      <c r="B129" t="s">
        <v>166</v>
      </c>
      <c r="C129" s="118" t="s">
        <v>38</v>
      </c>
      <c r="D129" s="118" t="s">
        <v>19</v>
      </c>
    </row>
    <row r="130" outlineLevel="1" spans="1:4">
      <c r="A130" s="118" t="s">
        <v>42</v>
      </c>
      <c r="B130" t="s">
        <v>167</v>
      </c>
      <c r="C130" s="138">
        <f>G16</f>
        <v>0.0471</v>
      </c>
      <c r="D130" s="126" t="e">
        <f>Módulo6[[#This Row],[Percentual]]*(D141+D142+D143+D144+D145)</f>
        <v>#REF!</v>
      </c>
    </row>
    <row r="131" outlineLevel="1" spans="1:4">
      <c r="A131" s="118" t="s">
        <v>45</v>
      </c>
      <c r="B131" t="s">
        <v>59</v>
      </c>
      <c r="C131" s="138">
        <f>G17</f>
        <v>0.0467</v>
      </c>
      <c r="D131" s="126" t="e">
        <f>(SUM(D141:D145)+D130)*Módulo6[[#This Row],[Percentual]]</f>
        <v>#REF!</v>
      </c>
    </row>
    <row r="132" spans="1:4">
      <c r="A132" s="118" t="s">
        <v>48</v>
      </c>
      <c r="B132" t="s">
        <v>168</v>
      </c>
      <c r="C132" s="138">
        <f>SUM(C133:C135)</f>
        <v>0.1425</v>
      </c>
      <c r="D132" s="126" t="e">
        <f>Módulo6[[#This Row],[Percentual]]*D148</f>
        <v>#REF!</v>
      </c>
    </row>
    <row r="133" spans="1:4">
      <c r="A133" s="118" t="s">
        <v>169</v>
      </c>
      <c r="B133" t="s">
        <v>60</v>
      </c>
      <c r="C133" s="138">
        <f>G18</f>
        <v>0.0165</v>
      </c>
      <c r="D133" s="126" t="e">
        <f>Módulo6[[#This Row],[Percentual]]*D148</f>
        <v>#REF!</v>
      </c>
    </row>
    <row r="134" spans="1:4">
      <c r="A134" s="118" t="s">
        <v>170</v>
      </c>
      <c r="B134" t="s">
        <v>62</v>
      </c>
      <c r="C134" s="138">
        <f>G19</f>
        <v>0.076</v>
      </c>
      <c r="D134" s="126" t="e">
        <f>Módulo6[[#This Row],[Percentual]]*D148</f>
        <v>#REF!</v>
      </c>
    </row>
    <row r="135" spans="1:4">
      <c r="A135" s="118" t="s">
        <v>171</v>
      </c>
      <c r="B135" t="s">
        <v>64</v>
      </c>
      <c r="C135" s="138">
        <f>G20</f>
        <v>0.05</v>
      </c>
      <c r="D135" s="126" t="e">
        <f>Módulo6[[#This Row],[Percentual]]*D148</f>
        <v>#REF!</v>
      </c>
    </row>
    <row r="136" spans="1:4">
      <c r="A136" s="118" t="s">
        <v>58</v>
      </c>
      <c r="C136" s="143"/>
      <c r="D136" s="126" t="e">
        <f>SUM(D130:D132)</f>
        <v>#REF!</v>
      </c>
    </row>
    <row r="137" spans="1:4">
      <c r="A137" s="118"/>
      <c r="C137" s="143"/>
      <c r="D137" s="126"/>
    </row>
    <row r="139" spans="1:4">
      <c r="A139" s="124" t="s">
        <v>172</v>
      </c>
      <c r="B139" s="124"/>
      <c r="C139" s="124"/>
      <c r="D139" s="124"/>
    </row>
    <row r="140" spans="1:4">
      <c r="A140" s="118" t="s">
        <v>16</v>
      </c>
      <c r="B140" s="118" t="s">
        <v>173</v>
      </c>
      <c r="C140" s="118" t="s">
        <v>102</v>
      </c>
      <c r="D140" s="118" t="s">
        <v>19</v>
      </c>
    </row>
    <row r="141" spans="1:4">
      <c r="A141" s="118" t="s">
        <v>42</v>
      </c>
      <c r="B141" t="s">
        <v>36</v>
      </c>
      <c r="D141" s="126">
        <f>Módulo1[[#Totals],[Valor]]</f>
        <v>998</v>
      </c>
    </row>
    <row r="142" spans="1:4">
      <c r="A142" s="118" t="s">
        <v>45</v>
      </c>
      <c r="B142" t="s">
        <v>61</v>
      </c>
      <c r="D142" s="126">
        <f>ResumoMódulo2[[#Totals],[Valor]]</f>
        <v>843.932</v>
      </c>
    </row>
    <row r="143" spans="1:4">
      <c r="A143" s="118" t="s">
        <v>48</v>
      </c>
      <c r="B143" t="s">
        <v>108</v>
      </c>
      <c r="D143" s="126">
        <f>Módulo3[[#Totals],[Valor]]</f>
        <v>157.862265311111</v>
      </c>
    </row>
    <row r="144" spans="1:4">
      <c r="A144" s="118" t="s">
        <v>50</v>
      </c>
      <c r="B144" t="s">
        <v>174</v>
      </c>
      <c r="D144" s="126">
        <f>ResumoMódulo4[[#Totals],[Valor]]</f>
        <v>162.187758903987</v>
      </c>
    </row>
    <row r="145" spans="1:4">
      <c r="A145" s="118" t="s">
        <v>53</v>
      </c>
      <c r="B145" t="s">
        <v>152</v>
      </c>
      <c r="D145" s="126" t="e">
        <f>Módulo5[[#Totals],[Valor]]</f>
        <v>#REF!</v>
      </c>
    </row>
    <row r="146" spans="1:4">
      <c r="A146" t="s">
        <v>175</v>
      </c>
      <c r="D146" s="126" t="e">
        <f>SUM(D141:D145)</f>
        <v>#REF!</v>
      </c>
    </row>
    <row r="147" spans="1:4">
      <c r="A147" s="118" t="s">
        <v>55</v>
      </c>
      <c r="B147" t="s">
        <v>164</v>
      </c>
      <c r="D147" s="126" t="e">
        <f>Módulo6[[#Totals],[Valor]]</f>
        <v>#REF!</v>
      </c>
    </row>
    <row r="148" spans="1:4">
      <c r="A148" s="144" t="s">
        <v>176</v>
      </c>
      <c r="B148" s="144"/>
      <c r="C148" s="144"/>
      <c r="D148" s="145"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86:D86"/>
    <mergeCell ref="A87:D87"/>
    <mergeCell ref="A97:D97"/>
    <mergeCell ref="A102:D102"/>
    <mergeCell ref="A107:D107"/>
    <mergeCell ref="A113:D113"/>
    <mergeCell ref="A121:D121"/>
    <mergeCell ref="A128:D128"/>
    <mergeCell ref="A139:D139"/>
  </mergeCells>
  <pageMargins left="0.7" right="0.7" top="0.75" bottom="0.75" header="0.511805555555555" footer="0.511805555555555"/>
  <pageSetup paperSize="9" scale="43" firstPageNumber="0" fitToHeight="0" orientation="portrait" useFirstPageNumber="1" horizontalDpi="300" verticalDpi="300"/>
  <headerFooter/>
  <legacyDrawing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5"/>
  <sheetViews>
    <sheetView zoomScale="90" zoomScaleNormal="90" topLeftCell="A126" workbookViewId="0">
      <selection activeCell="A2" sqref="A2:D147"/>
    </sheetView>
  </sheetViews>
  <sheetFormatPr defaultColWidth="9.13888888888889" defaultRowHeight="14.4" outlineLevelCol="6"/>
  <cols>
    <col min="1" max="1" width="10.6111111111111" customWidth="1"/>
    <col min="2" max="2" width="54.0648148148148" customWidth="1"/>
    <col min="3" max="3" width="29.6203703703704" customWidth="1"/>
    <col min="4" max="4" width="32.462962962963" customWidth="1"/>
    <col min="6" max="6" width="22.8611111111111" customWidth="1"/>
    <col min="7" max="7" width="12.8611111111111" customWidth="1"/>
    <col min="8" max="8" width="10" customWidth="1"/>
    <col min="9" max="9" width="11.4259259259259" customWidth="1"/>
  </cols>
  <sheetData>
    <row r="1" spans="1:7">
      <c r="A1" s="45"/>
      <c r="B1" s="45"/>
      <c r="C1" s="45"/>
      <c r="D1" s="45"/>
      <c r="E1" s="45"/>
      <c r="F1" s="45"/>
      <c r="G1" s="45"/>
    </row>
    <row r="2" ht="18.75" spans="1:7">
      <c r="A2" s="46" t="s">
        <v>177</v>
      </c>
      <c r="B2" s="46"/>
      <c r="C2" s="46"/>
      <c r="D2" s="46"/>
      <c r="E2" s="45"/>
      <c r="F2" s="45"/>
      <c r="G2" s="45"/>
    </row>
    <row r="3" ht="15.15" spans="1:7">
      <c r="A3" s="47" t="s">
        <v>178</v>
      </c>
      <c r="B3" s="47"/>
      <c r="C3" s="47"/>
      <c r="D3" s="47"/>
      <c r="E3" s="45"/>
      <c r="F3" s="45"/>
      <c r="G3" s="45"/>
    </row>
    <row r="4" spans="1:7">
      <c r="A4" s="48" t="s">
        <v>179</v>
      </c>
      <c r="B4" s="49" t="s">
        <v>180</v>
      </c>
      <c r="C4" s="50"/>
      <c r="D4" s="50"/>
      <c r="E4" s="45"/>
      <c r="F4" s="45"/>
      <c r="G4" s="45"/>
    </row>
    <row r="5" spans="1:7">
      <c r="A5" s="51"/>
      <c r="B5" s="52"/>
      <c r="C5" s="52"/>
      <c r="D5" s="52"/>
      <c r="E5" s="45"/>
      <c r="F5" s="45"/>
      <c r="G5" s="45"/>
    </row>
    <row r="6" ht="15.15" spans="1:7">
      <c r="A6" s="53" t="s">
        <v>181</v>
      </c>
      <c r="B6" s="53"/>
      <c r="C6" s="53"/>
      <c r="D6" s="53"/>
      <c r="E6" s="45"/>
      <c r="F6" s="45"/>
      <c r="G6" s="45"/>
    </row>
    <row r="7" ht="15.15" spans="1:7">
      <c r="A7" s="54" t="s">
        <v>42</v>
      </c>
      <c r="B7" s="55" t="s">
        <v>182</v>
      </c>
      <c r="C7" s="56" t="s">
        <v>183</v>
      </c>
      <c r="D7" s="56"/>
      <c r="E7" s="45"/>
      <c r="F7" s="45"/>
      <c r="G7" s="45"/>
    </row>
    <row r="8" spans="1:7">
      <c r="A8" s="57" t="s">
        <v>45</v>
      </c>
      <c r="B8" s="58" t="s">
        <v>184</v>
      </c>
      <c r="C8" s="59" t="s">
        <v>185</v>
      </c>
      <c r="D8" s="59"/>
      <c r="E8" s="45"/>
      <c r="F8" s="45"/>
      <c r="G8" s="45"/>
    </row>
    <row r="9" spans="1:7">
      <c r="A9" s="60" t="s">
        <v>48</v>
      </c>
      <c r="B9" s="61" t="s">
        <v>186</v>
      </c>
      <c r="C9" s="59" t="s">
        <v>187</v>
      </c>
      <c r="D9" s="59"/>
      <c r="E9" s="45"/>
      <c r="F9" s="45"/>
      <c r="G9" s="45"/>
    </row>
    <row r="10" spans="1:7">
      <c r="A10" s="57" t="s">
        <v>53</v>
      </c>
      <c r="B10" s="58" t="s">
        <v>188</v>
      </c>
      <c r="C10" s="59" t="s">
        <v>189</v>
      </c>
      <c r="D10" s="59"/>
      <c r="E10" s="45"/>
      <c r="F10" s="45"/>
      <c r="G10" s="45"/>
    </row>
    <row r="11" ht="15.15" spans="1:7">
      <c r="A11" s="62" t="s">
        <v>190</v>
      </c>
      <c r="B11" s="62"/>
      <c r="C11" s="62"/>
      <c r="D11" s="62"/>
      <c r="E11" s="45"/>
      <c r="F11" s="45"/>
      <c r="G11" s="45"/>
    </row>
    <row r="12" ht="15.9" spans="1:7">
      <c r="A12" s="63" t="s">
        <v>191</v>
      </c>
      <c r="B12" s="63"/>
      <c r="C12" s="62" t="s">
        <v>192</v>
      </c>
      <c r="D12" s="64" t="s">
        <v>193</v>
      </c>
      <c r="E12" s="45"/>
      <c r="F12" s="45"/>
      <c r="G12" s="45"/>
    </row>
    <row r="13" ht="15.15" spans="1:7">
      <c r="A13" s="65" t="s">
        <v>194</v>
      </c>
      <c r="B13" s="65"/>
      <c r="C13" s="59" t="s">
        <v>195</v>
      </c>
      <c r="D13" s="66">
        <f>RESUMO!D3</f>
        <v>1</v>
      </c>
      <c r="E13" s="45"/>
      <c r="F13" s="45"/>
      <c r="G13" s="45"/>
    </row>
    <row r="14" spans="1:7">
      <c r="A14" s="67"/>
      <c r="B14" s="67"/>
      <c r="C14" s="59"/>
      <c r="D14" s="68"/>
      <c r="E14" s="45"/>
      <c r="F14" s="45"/>
      <c r="G14" s="45"/>
    </row>
    <row r="15" ht="15.15" spans="1:7">
      <c r="A15" s="62" t="s">
        <v>14</v>
      </c>
      <c r="B15" s="62"/>
      <c r="C15" s="62"/>
      <c r="D15" s="62"/>
      <c r="E15" s="45"/>
      <c r="F15" s="69"/>
      <c r="G15" s="69"/>
    </row>
    <row r="16" ht="15.15" spans="1:7">
      <c r="A16" s="70" t="s">
        <v>16</v>
      </c>
      <c r="B16" s="45" t="s">
        <v>17</v>
      </c>
      <c r="C16" s="70" t="s">
        <v>18</v>
      </c>
      <c r="D16" s="70" t="s">
        <v>19</v>
      </c>
      <c r="E16" s="45"/>
      <c r="F16" s="45"/>
      <c r="G16" s="45"/>
    </row>
    <row r="17" spans="1:7">
      <c r="A17" s="70">
        <v>1</v>
      </c>
      <c r="B17" s="45" t="s">
        <v>20</v>
      </c>
      <c r="C17" s="71" t="s">
        <v>102</v>
      </c>
      <c r="D17" s="71" t="str">
        <f>A13</f>
        <v>Eletricista</v>
      </c>
      <c r="E17" s="45"/>
      <c r="F17" s="45"/>
      <c r="G17" s="45"/>
    </row>
    <row r="18" spans="1:7">
      <c r="A18" s="70">
        <v>2</v>
      </c>
      <c r="B18" s="45" t="s">
        <v>23</v>
      </c>
      <c r="C18" s="71" t="s">
        <v>196</v>
      </c>
      <c r="D18" s="71" t="s">
        <v>197</v>
      </c>
      <c r="E18" s="45"/>
      <c r="F18" s="45"/>
      <c r="G18" s="45"/>
    </row>
    <row r="19" spans="1:7">
      <c r="A19" s="70">
        <v>3</v>
      </c>
      <c r="B19" s="45" t="s">
        <v>26</v>
      </c>
      <c r="C19" s="71" t="str">
        <f>C9</f>
        <v>CCT PB 000047/2021</v>
      </c>
      <c r="D19" s="72">
        <v>1528</v>
      </c>
      <c r="E19" s="45"/>
      <c r="F19" s="45"/>
      <c r="G19" s="45"/>
    </row>
    <row r="20" spans="1:7">
      <c r="A20" s="70">
        <v>4</v>
      </c>
      <c r="B20" s="45" t="s">
        <v>29</v>
      </c>
      <c r="C20" s="71" t="str">
        <f>C9</f>
        <v>CCT PB 000047/2021</v>
      </c>
      <c r="D20" s="71" t="s">
        <v>198</v>
      </c>
      <c r="E20" s="45"/>
      <c r="F20" s="45"/>
      <c r="G20" s="45"/>
    </row>
    <row r="21" spans="1:7">
      <c r="A21" s="70">
        <v>5</v>
      </c>
      <c r="B21" s="45" t="s">
        <v>33</v>
      </c>
      <c r="C21" s="71" t="str">
        <f>C9</f>
        <v>CCT PB 000047/2021</v>
      </c>
      <c r="D21" s="73" t="s">
        <v>199</v>
      </c>
      <c r="E21" s="45"/>
      <c r="F21" s="45"/>
      <c r="G21" s="45"/>
    </row>
    <row r="22" spans="1:7">
      <c r="A22" s="45"/>
      <c r="B22" s="45"/>
      <c r="C22" s="45"/>
      <c r="D22" s="45"/>
      <c r="E22" s="45"/>
      <c r="F22" s="69"/>
      <c r="G22" s="69"/>
    </row>
    <row r="23" spans="1:7">
      <c r="A23" s="53" t="s">
        <v>36</v>
      </c>
      <c r="B23" s="53"/>
      <c r="C23" s="53"/>
      <c r="D23" s="53"/>
      <c r="E23" s="45"/>
      <c r="F23" s="45"/>
      <c r="G23" s="45"/>
    </row>
    <row r="24" spans="1:7">
      <c r="A24" s="70" t="s">
        <v>39</v>
      </c>
      <c r="B24" s="45" t="s">
        <v>40</v>
      </c>
      <c r="C24" s="70" t="s">
        <v>18</v>
      </c>
      <c r="D24" s="70" t="s">
        <v>19</v>
      </c>
      <c r="E24" s="45"/>
      <c r="F24" s="45"/>
      <c r="G24" s="74"/>
    </row>
    <row r="25" spans="1:7">
      <c r="A25" s="70" t="s">
        <v>42</v>
      </c>
      <c r="B25" s="45" t="s">
        <v>43</v>
      </c>
      <c r="C25" s="71" t="s">
        <v>200</v>
      </c>
      <c r="D25" s="72">
        <f>D19</f>
        <v>1528</v>
      </c>
      <c r="E25" s="45"/>
      <c r="F25" s="45"/>
      <c r="G25" s="74"/>
    </row>
    <row r="26" ht="28.8" spans="1:7">
      <c r="A26" s="70" t="s">
        <v>45</v>
      </c>
      <c r="B26" s="45" t="s">
        <v>46</v>
      </c>
      <c r="C26" s="113" t="s">
        <v>201</v>
      </c>
      <c r="D26" s="88">
        <f>TRUNC((D25*30%),2)</f>
        <v>458.4</v>
      </c>
      <c r="E26" s="45"/>
      <c r="F26" s="45"/>
      <c r="G26" s="74"/>
    </row>
    <row r="27" spans="1:7">
      <c r="A27" s="70" t="s">
        <v>48</v>
      </c>
      <c r="B27" s="45" t="s">
        <v>49</v>
      </c>
      <c r="C27" s="71"/>
      <c r="D27" s="88">
        <v>0</v>
      </c>
      <c r="E27" s="45"/>
      <c r="F27" s="45"/>
      <c r="G27" s="45"/>
    </row>
    <row r="28" spans="1:7">
      <c r="A28" s="70" t="s">
        <v>50</v>
      </c>
      <c r="B28" s="45" t="s">
        <v>51</v>
      </c>
      <c r="C28" s="71"/>
      <c r="D28" s="88">
        <v>0</v>
      </c>
      <c r="E28" s="45"/>
      <c r="F28" s="45"/>
      <c r="G28" s="45"/>
    </row>
    <row r="29" spans="1:7">
      <c r="A29" s="70" t="s">
        <v>53</v>
      </c>
      <c r="B29" s="45" t="s">
        <v>54</v>
      </c>
      <c r="C29" s="71"/>
      <c r="D29" s="88">
        <v>0</v>
      </c>
      <c r="E29" s="45"/>
      <c r="F29" s="45"/>
      <c r="G29" s="45"/>
    </row>
    <row r="30" spans="1:7">
      <c r="A30" s="70" t="s">
        <v>55</v>
      </c>
      <c r="B30" s="45" t="s">
        <v>56</v>
      </c>
      <c r="C30" s="71"/>
      <c r="D30" s="88">
        <v>0</v>
      </c>
      <c r="E30" s="45"/>
      <c r="F30" s="45"/>
      <c r="G30" s="45"/>
    </row>
    <row r="31" spans="1:7">
      <c r="A31" s="70" t="s">
        <v>58</v>
      </c>
      <c r="B31" s="45"/>
      <c r="C31" s="70"/>
      <c r="D31" s="75">
        <f>TRUNC(SUM(D25:D30),2)</f>
        <v>1986.4</v>
      </c>
      <c r="E31" s="45"/>
      <c r="F31" s="69"/>
      <c r="G31" s="69"/>
    </row>
    <row r="32" spans="1:7">
      <c r="A32" s="45"/>
      <c r="B32" s="45"/>
      <c r="C32" s="45"/>
      <c r="D32" s="45"/>
      <c r="E32" s="45"/>
      <c r="F32" s="45"/>
      <c r="G32" s="45"/>
    </row>
    <row r="33" spans="1:7">
      <c r="A33" s="76" t="s">
        <v>61</v>
      </c>
      <c r="B33" s="76"/>
      <c r="C33" s="76"/>
      <c r="D33" s="76"/>
      <c r="E33" s="45"/>
      <c r="F33" s="45"/>
      <c r="G33" s="74"/>
    </row>
    <row r="34" spans="1:7">
      <c r="A34" s="45"/>
      <c r="B34" s="45"/>
      <c r="C34" s="45"/>
      <c r="D34" s="45"/>
      <c r="E34" s="45"/>
      <c r="F34" s="45"/>
      <c r="G34" s="45"/>
    </row>
    <row r="35" spans="1:7">
      <c r="A35" s="69" t="s">
        <v>63</v>
      </c>
      <c r="B35" s="69"/>
      <c r="C35" s="69"/>
      <c r="D35" s="69"/>
      <c r="E35" s="45"/>
      <c r="F35" s="45"/>
      <c r="G35" s="45"/>
    </row>
    <row r="36" spans="1:7">
      <c r="A36" s="70" t="s">
        <v>65</v>
      </c>
      <c r="B36" s="45" t="s">
        <v>66</v>
      </c>
      <c r="C36" s="70" t="s">
        <v>38</v>
      </c>
      <c r="D36" s="70" t="s">
        <v>19</v>
      </c>
      <c r="E36" s="45"/>
      <c r="F36" s="45"/>
      <c r="G36" s="45"/>
    </row>
    <row r="37" spans="1:7">
      <c r="A37" s="70" t="s">
        <v>42</v>
      </c>
      <c r="B37" s="45" t="s">
        <v>67</v>
      </c>
      <c r="C37" s="77">
        <f>(1/12)</f>
        <v>0.0833333333333333</v>
      </c>
      <c r="D37" s="75">
        <f>TRUNC($D$31*C37,2)</f>
        <v>165.53</v>
      </c>
      <c r="E37" s="45"/>
      <c r="F37" s="78"/>
      <c r="G37" s="78"/>
    </row>
    <row r="38" spans="1:7">
      <c r="A38" s="70" t="s">
        <v>45</v>
      </c>
      <c r="B38" s="45" t="s">
        <v>68</v>
      </c>
      <c r="C38" s="77">
        <f>(((1+1/3)/12))</f>
        <v>0.111111111111111</v>
      </c>
      <c r="D38" s="75">
        <f>TRUNC($D$31*C38,2)</f>
        <v>220.71</v>
      </c>
      <c r="E38" s="45"/>
      <c r="F38" s="78"/>
      <c r="G38" s="78"/>
    </row>
    <row r="39" spans="1:7">
      <c r="A39" s="70" t="s">
        <v>58</v>
      </c>
      <c r="B39" s="45"/>
      <c r="C39" s="45"/>
      <c r="D39" s="75">
        <f>TRUNC((SUM(D37:D38)),2)</f>
        <v>386.24</v>
      </c>
      <c r="E39" s="45"/>
      <c r="F39" s="78"/>
      <c r="G39" s="78"/>
    </row>
    <row r="40" ht="15.15" spans="1:7">
      <c r="A40" s="45"/>
      <c r="B40" s="45"/>
      <c r="C40" s="45"/>
      <c r="D40" s="75"/>
      <c r="E40" s="45"/>
      <c r="F40" s="78"/>
      <c r="G40" s="78"/>
    </row>
    <row r="41" ht="15.9" spans="1:7">
      <c r="A41" s="79" t="s">
        <v>202</v>
      </c>
      <c r="B41" s="79"/>
      <c r="C41" s="80" t="s">
        <v>203</v>
      </c>
      <c r="D41" s="81">
        <f>D31</f>
        <v>1986.4</v>
      </c>
      <c r="E41" s="45"/>
      <c r="F41" s="78"/>
      <c r="G41" s="78"/>
    </row>
    <row r="42" ht="15.9" spans="1:7">
      <c r="A42" s="79"/>
      <c r="B42" s="79"/>
      <c r="C42" s="82" t="s">
        <v>204</v>
      </c>
      <c r="D42" s="81">
        <f>D39</f>
        <v>386.24</v>
      </c>
      <c r="E42" s="45"/>
      <c r="F42" s="78"/>
      <c r="G42" s="78"/>
    </row>
    <row r="43" ht="15.9" spans="1:7">
      <c r="A43" s="79"/>
      <c r="B43" s="79"/>
      <c r="C43" s="80" t="s">
        <v>205</v>
      </c>
      <c r="D43" s="83">
        <f>TRUNC((SUM(D41:D42)),2)</f>
        <v>2372.64</v>
      </c>
      <c r="E43" s="45"/>
      <c r="F43" s="78"/>
      <c r="G43" s="78"/>
    </row>
    <row r="44" ht="15.15" spans="1:7">
      <c r="A44" s="70"/>
      <c r="B44" s="45"/>
      <c r="C44" s="84"/>
      <c r="D44" s="75"/>
      <c r="E44" s="45"/>
      <c r="F44" s="78"/>
      <c r="G44" s="78"/>
    </row>
    <row r="45" spans="1:7">
      <c r="A45" s="69" t="s">
        <v>77</v>
      </c>
      <c r="B45" s="69"/>
      <c r="C45" s="69"/>
      <c r="D45" s="69"/>
      <c r="E45" s="45"/>
      <c r="F45" s="45"/>
      <c r="G45" s="45"/>
    </row>
    <row r="46" spans="1:7">
      <c r="A46" s="70" t="s">
        <v>78</v>
      </c>
      <c r="B46" s="45" t="s">
        <v>79</v>
      </c>
      <c r="C46" s="70" t="s">
        <v>38</v>
      </c>
      <c r="D46" s="70" t="s">
        <v>80</v>
      </c>
      <c r="E46" s="45"/>
      <c r="F46" s="45"/>
      <c r="G46" s="45"/>
    </row>
    <row r="47" spans="1:7">
      <c r="A47" s="70" t="s">
        <v>42</v>
      </c>
      <c r="B47" s="45" t="s">
        <v>81</v>
      </c>
      <c r="C47" s="77">
        <v>0.2</v>
      </c>
      <c r="D47" s="75">
        <f t="shared" ref="D47:D54" si="0">TRUNC(($D$43*C47),2)</f>
        <v>474.52</v>
      </c>
      <c r="E47" s="45"/>
      <c r="F47" s="45"/>
      <c r="G47" s="45"/>
    </row>
    <row r="48" spans="1:7">
      <c r="A48" s="70" t="s">
        <v>45</v>
      </c>
      <c r="B48" s="45" t="s">
        <v>82</v>
      </c>
      <c r="C48" s="77">
        <v>0.025</v>
      </c>
      <c r="D48" s="75">
        <f t="shared" si="0"/>
        <v>59.31</v>
      </c>
      <c r="E48" s="45"/>
      <c r="F48" s="45"/>
      <c r="G48" s="45"/>
    </row>
    <row r="49" spans="1:7">
      <c r="A49" s="70" t="s">
        <v>48</v>
      </c>
      <c r="B49" s="45" t="s">
        <v>206</v>
      </c>
      <c r="C49" s="85">
        <v>0.06</v>
      </c>
      <c r="D49" s="72">
        <f t="shared" si="0"/>
        <v>142.35</v>
      </c>
      <c r="E49" s="45"/>
      <c r="F49" s="45"/>
      <c r="G49" s="45"/>
    </row>
    <row r="50" spans="1:7">
      <c r="A50" s="70" t="s">
        <v>50</v>
      </c>
      <c r="B50" s="45" t="s">
        <v>84</v>
      </c>
      <c r="C50" s="77">
        <v>0.015</v>
      </c>
      <c r="D50" s="75">
        <f t="shared" si="0"/>
        <v>35.58</v>
      </c>
      <c r="E50" s="45"/>
      <c r="F50" s="45"/>
      <c r="G50" s="45"/>
    </row>
    <row r="51" spans="1:7">
      <c r="A51" s="70" t="s">
        <v>53</v>
      </c>
      <c r="B51" s="45" t="s">
        <v>85</v>
      </c>
      <c r="C51" s="77">
        <v>0.01</v>
      </c>
      <c r="D51" s="75">
        <f t="shared" si="0"/>
        <v>23.72</v>
      </c>
      <c r="E51" s="45"/>
      <c r="F51" s="45"/>
      <c r="G51" s="45"/>
    </row>
    <row r="52" spans="1:7">
      <c r="A52" s="70" t="s">
        <v>55</v>
      </c>
      <c r="B52" s="45" t="s">
        <v>86</v>
      </c>
      <c r="C52" s="77">
        <v>0.006</v>
      </c>
      <c r="D52" s="75">
        <f t="shared" si="0"/>
        <v>14.23</v>
      </c>
      <c r="E52" s="45"/>
      <c r="F52" s="45"/>
      <c r="G52" s="45"/>
    </row>
    <row r="53" spans="1:7">
      <c r="A53" s="70" t="s">
        <v>87</v>
      </c>
      <c r="B53" s="45" t="s">
        <v>88</v>
      </c>
      <c r="C53" s="77">
        <v>0.002</v>
      </c>
      <c r="D53" s="75">
        <f t="shared" si="0"/>
        <v>4.74</v>
      </c>
      <c r="E53" s="45"/>
      <c r="F53" s="45"/>
      <c r="G53" s="45"/>
    </row>
    <row r="54" spans="1:7">
      <c r="A54" s="70" t="s">
        <v>89</v>
      </c>
      <c r="B54" s="45" t="s">
        <v>90</v>
      </c>
      <c r="C54" s="77">
        <v>0.08</v>
      </c>
      <c r="D54" s="75">
        <f t="shared" si="0"/>
        <v>189.81</v>
      </c>
      <c r="E54" s="45"/>
      <c r="F54" s="45"/>
      <c r="G54" s="45"/>
    </row>
    <row r="55" spans="1:7">
      <c r="A55" s="70" t="s">
        <v>58</v>
      </c>
      <c r="B55" s="45"/>
      <c r="C55" s="84">
        <f>SUM(C47:C54)</f>
        <v>0.398</v>
      </c>
      <c r="D55" s="75">
        <f>TRUNC((SUM(D47:D54)),2)</f>
        <v>944.26</v>
      </c>
      <c r="E55" s="45"/>
      <c r="F55" s="45"/>
      <c r="G55" s="45"/>
    </row>
    <row r="56" spans="1:7">
      <c r="A56" s="70"/>
      <c r="B56" s="45"/>
      <c r="C56" s="84"/>
      <c r="D56" s="75"/>
      <c r="E56" s="45"/>
      <c r="F56" s="45"/>
      <c r="G56" s="45"/>
    </row>
    <row r="57" spans="1:7">
      <c r="A57" s="69" t="s">
        <v>95</v>
      </c>
      <c r="B57" s="69"/>
      <c r="C57" s="69"/>
      <c r="D57" s="69"/>
      <c r="E57" s="45"/>
      <c r="F57" s="45"/>
      <c r="G57" s="45"/>
    </row>
    <row r="58" spans="1:7">
      <c r="A58" s="70" t="s">
        <v>96</v>
      </c>
      <c r="B58" s="45" t="s">
        <v>97</v>
      </c>
      <c r="C58" s="70" t="s">
        <v>18</v>
      </c>
      <c r="D58" s="70" t="s">
        <v>19</v>
      </c>
      <c r="E58" s="45"/>
      <c r="F58" s="45"/>
      <c r="G58" s="45"/>
    </row>
    <row r="59" spans="1:7">
      <c r="A59" s="70" t="s">
        <v>42</v>
      </c>
      <c r="B59" s="45" t="s">
        <v>98</v>
      </c>
      <c r="C59" s="71"/>
      <c r="D59" s="72">
        <f>TRUNC(((22*3.9)*2)-((D25/100)*6),2)</f>
        <v>79.92</v>
      </c>
      <c r="E59" s="45"/>
      <c r="F59" s="45"/>
      <c r="G59" s="45"/>
    </row>
    <row r="60" spans="1:7">
      <c r="A60" s="70" t="s">
        <v>45</v>
      </c>
      <c r="B60" s="45" t="s">
        <v>99</v>
      </c>
      <c r="C60" s="71" t="str">
        <f>C9</f>
        <v>CCT PB 000047/2021</v>
      </c>
      <c r="D60" s="72">
        <f>TRUNC((((22*18))-(((22*18))*0.2)),2)</f>
        <v>316.8</v>
      </c>
      <c r="E60" s="45"/>
      <c r="F60" s="45"/>
      <c r="G60" s="45"/>
    </row>
    <row r="61" spans="1:7">
      <c r="A61" s="70" t="s">
        <v>48</v>
      </c>
      <c r="B61" s="45" t="s">
        <v>100</v>
      </c>
      <c r="C61" s="71"/>
      <c r="D61" s="72">
        <v>0</v>
      </c>
      <c r="E61" s="45"/>
      <c r="F61" s="45"/>
      <c r="G61" s="45"/>
    </row>
    <row r="62" spans="1:7">
      <c r="A62" s="86" t="s">
        <v>50</v>
      </c>
      <c r="B62" s="87" t="s">
        <v>207</v>
      </c>
      <c r="C62" s="88"/>
      <c r="D62" s="88">
        <v>0</v>
      </c>
      <c r="E62" s="45"/>
      <c r="F62" s="87"/>
      <c r="G62" s="45"/>
    </row>
    <row r="63" spans="1:7">
      <c r="A63" s="70" t="s">
        <v>53</v>
      </c>
      <c r="B63" s="45" t="s">
        <v>208</v>
      </c>
      <c r="C63" s="71" t="str">
        <f>C9</f>
        <v>CCT PB 000047/2021</v>
      </c>
      <c r="D63" s="89">
        <v>15</v>
      </c>
      <c r="E63" s="45"/>
      <c r="F63" s="45"/>
      <c r="G63" s="45"/>
    </row>
    <row r="64" spans="1:7">
      <c r="A64" s="70" t="s">
        <v>55</v>
      </c>
      <c r="B64" s="90" t="s">
        <v>209</v>
      </c>
      <c r="C64" s="88" t="str">
        <f>C9</f>
        <v>CCT PB 000047/2021</v>
      </c>
      <c r="D64" s="89">
        <v>5</v>
      </c>
      <c r="E64" s="45"/>
      <c r="F64" s="45"/>
      <c r="G64" s="45"/>
    </row>
    <row r="65" spans="1:7">
      <c r="A65" s="70" t="s">
        <v>58</v>
      </c>
      <c r="B65" s="45"/>
      <c r="C65" s="45"/>
      <c r="D65" s="75">
        <f>TRUNC((SUM(D59:D64)),2)</f>
        <v>416.72</v>
      </c>
      <c r="E65" s="45"/>
      <c r="F65" s="45"/>
      <c r="G65" s="45"/>
    </row>
    <row r="66" spans="1:7">
      <c r="A66" s="70"/>
      <c r="B66" s="45"/>
      <c r="C66" s="45"/>
      <c r="D66" s="75"/>
      <c r="E66" s="45"/>
      <c r="F66" s="45"/>
      <c r="G66" s="45"/>
    </row>
    <row r="67" spans="1:7">
      <c r="A67" s="69" t="s">
        <v>105</v>
      </c>
      <c r="B67" s="69"/>
      <c r="C67" s="69"/>
      <c r="D67" s="69"/>
      <c r="E67" s="45"/>
      <c r="F67" s="45"/>
      <c r="G67" s="45"/>
    </row>
    <row r="68" spans="1:7">
      <c r="A68" s="70" t="s">
        <v>106</v>
      </c>
      <c r="B68" s="45" t="s">
        <v>107</v>
      </c>
      <c r="C68" s="70" t="s">
        <v>18</v>
      </c>
      <c r="D68" s="70" t="s">
        <v>19</v>
      </c>
      <c r="E68" s="45"/>
      <c r="F68" s="45"/>
      <c r="G68" s="45"/>
    </row>
    <row r="69" spans="1:7">
      <c r="A69" s="70" t="s">
        <v>65</v>
      </c>
      <c r="B69" s="45" t="s">
        <v>66</v>
      </c>
      <c r="C69" s="70"/>
      <c r="D69" s="75">
        <f>D39</f>
        <v>386.24</v>
      </c>
      <c r="E69" s="45"/>
      <c r="F69" s="45"/>
      <c r="G69" s="45"/>
    </row>
    <row r="70" spans="1:7">
      <c r="A70" s="70" t="s">
        <v>78</v>
      </c>
      <c r="B70" s="45" t="s">
        <v>79</v>
      </c>
      <c r="C70" s="70"/>
      <c r="D70" s="75">
        <f>D55</f>
        <v>944.26</v>
      </c>
      <c r="E70" s="45"/>
      <c r="F70" s="45"/>
      <c r="G70" s="45"/>
    </row>
    <row r="71" spans="1:7">
      <c r="A71" s="70" t="s">
        <v>96</v>
      </c>
      <c r="B71" s="45" t="s">
        <v>97</v>
      </c>
      <c r="C71" s="70"/>
      <c r="D71" s="75">
        <f>D65</f>
        <v>416.72</v>
      </c>
      <c r="E71" s="45"/>
      <c r="F71" s="45"/>
      <c r="G71" s="45"/>
    </row>
    <row r="72" spans="1:7">
      <c r="A72" s="70" t="s">
        <v>58</v>
      </c>
      <c r="B72" s="45"/>
      <c r="C72" s="70"/>
      <c r="D72" s="75">
        <f>TRUNC(SUM(D69:D71),2)</f>
        <v>1747.22</v>
      </c>
      <c r="E72" s="45"/>
      <c r="F72" s="45"/>
      <c r="G72" s="45"/>
    </row>
    <row r="73" spans="1:7">
      <c r="A73" s="45"/>
      <c r="B73" s="45"/>
      <c r="C73" s="45"/>
      <c r="D73" s="45"/>
      <c r="E73" s="45"/>
      <c r="F73" s="45"/>
      <c r="G73" s="45"/>
    </row>
    <row r="74" spans="1:7">
      <c r="A74" s="53" t="s">
        <v>108</v>
      </c>
      <c r="B74" s="53"/>
      <c r="C74" s="53"/>
      <c r="D74" s="53"/>
      <c r="E74" s="45"/>
      <c r="F74" s="45"/>
      <c r="G74" s="45"/>
    </row>
    <row r="75" spans="1:7">
      <c r="A75" s="70" t="s">
        <v>109</v>
      </c>
      <c r="B75" s="45" t="s">
        <v>110</v>
      </c>
      <c r="C75" s="70" t="s">
        <v>38</v>
      </c>
      <c r="D75" s="70" t="s">
        <v>19</v>
      </c>
      <c r="E75" s="45"/>
      <c r="F75" s="45"/>
      <c r="G75" s="45"/>
    </row>
    <row r="76" spans="1:7">
      <c r="A76" s="70" t="s">
        <v>42</v>
      </c>
      <c r="B76" s="45" t="s">
        <v>111</v>
      </c>
      <c r="C76" s="85">
        <f>((1/12)*5%)</f>
        <v>0.00416666666666667</v>
      </c>
      <c r="D76" s="72">
        <f t="shared" ref="D76:D79" si="1">TRUNC(($D$31*C76),2)</f>
        <v>8.27</v>
      </c>
      <c r="E76" s="45"/>
      <c r="F76" s="45"/>
      <c r="G76" s="45"/>
    </row>
    <row r="77" spans="1:7">
      <c r="A77" s="70" t="s">
        <v>45</v>
      </c>
      <c r="B77" s="45" t="s">
        <v>112</v>
      </c>
      <c r="C77" s="91">
        <v>0.08</v>
      </c>
      <c r="D77" s="75">
        <f>TRUNC(($D$76*C77),2)</f>
        <v>0.66</v>
      </c>
      <c r="E77" s="45"/>
      <c r="F77" s="45"/>
      <c r="G77" s="45"/>
    </row>
    <row r="78" spans="1:7">
      <c r="A78" s="70" t="s">
        <v>48</v>
      </c>
      <c r="B78" s="92" t="s">
        <v>113</v>
      </c>
      <c r="C78" s="93">
        <f>(0.08*0.4*0.05)</f>
        <v>0.0016</v>
      </c>
      <c r="D78" s="88">
        <f t="shared" si="1"/>
        <v>3.17</v>
      </c>
      <c r="E78" s="45"/>
      <c r="F78" s="45"/>
      <c r="G78" s="45"/>
    </row>
    <row r="79" spans="1:7">
      <c r="A79" s="70" t="s">
        <v>50</v>
      </c>
      <c r="B79" s="45" t="s">
        <v>114</v>
      </c>
      <c r="C79" s="94">
        <f>(((7/30)/12)*0.95)</f>
        <v>0.0184722222222222</v>
      </c>
      <c r="D79" s="95">
        <f t="shared" si="1"/>
        <v>36.69</v>
      </c>
      <c r="E79" s="45"/>
      <c r="F79" s="45"/>
      <c r="G79" s="45"/>
    </row>
    <row r="80" spans="1:7">
      <c r="A80" s="70" t="s">
        <v>53</v>
      </c>
      <c r="B80" s="92" t="s">
        <v>210</v>
      </c>
      <c r="C80" s="93">
        <f>C55</f>
        <v>0.398</v>
      </c>
      <c r="D80" s="88">
        <f>TRUNC(($D$79*C80),2)</f>
        <v>14.6</v>
      </c>
      <c r="E80" s="45"/>
      <c r="F80" s="45"/>
      <c r="G80" s="45"/>
    </row>
    <row r="81" spans="1:7">
      <c r="A81" s="70" t="s">
        <v>55</v>
      </c>
      <c r="B81" s="92" t="s">
        <v>115</v>
      </c>
      <c r="C81" s="93">
        <f>(0.08*0.4*0.95)</f>
        <v>0.0304</v>
      </c>
      <c r="D81" s="88">
        <f>TRUNC(($D$31*C81),2)</f>
        <v>60.38</v>
      </c>
      <c r="E81" s="45"/>
      <c r="F81" s="45"/>
      <c r="G81" s="45"/>
    </row>
    <row r="82" spans="1:7">
      <c r="A82" s="70" t="s">
        <v>58</v>
      </c>
      <c r="B82" s="45"/>
      <c r="C82" s="91">
        <f>SUM(C76:C81)</f>
        <v>0.532638888888889</v>
      </c>
      <c r="D82" s="75">
        <f>TRUNC((SUM(D76:D81)),2)</f>
        <v>123.77</v>
      </c>
      <c r="E82" s="45"/>
      <c r="F82" s="45"/>
      <c r="G82" s="45"/>
    </row>
    <row r="83" ht="15.15" spans="1:7">
      <c r="A83" s="70"/>
      <c r="B83" s="45"/>
      <c r="C83" s="45"/>
      <c r="D83" s="75"/>
      <c r="E83" s="45"/>
      <c r="F83" s="45"/>
      <c r="G83" s="45"/>
    </row>
    <row r="84" ht="15.9" spans="1:7">
      <c r="A84" s="79" t="s">
        <v>211</v>
      </c>
      <c r="B84" s="79"/>
      <c r="C84" s="80" t="s">
        <v>203</v>
      </c>
      <c r="D84" s="81">
        <f>D31</f>
        <v>1986.4</v>
      </c>
      <c r="E84" s="45"/>
      <c r="F84" s="45"/>
      <c r="G84" s="45"/>
    </row>
    <row r="85" ht="15.9" spans="1:7">
      <c r="A85" s="79"/>
      <c r="B85" s="79"/>
      <c r="C85" s="82" t="s">
        <v>212</v>
      </c>
      <c r="D85" s="81">
        <f>D72</f>
        <v>1747.22</v>
      </c>
      <c r="E85" s="45"/>
      <c r="F85" s="45"/>
      <c r="G85" s="45"/>
    </row>
    <row r="86" ht="15.9" spans="1:7">
      <c r="A86" s="79"/>
      <c r="B86" s="79"/>
      <c r="C86" s="80" t="s">
        <v>213</v>
      </c>
      <c r="D86" s="81">
        <f>D82</f>
        <v>123.77</v>
      </c>
      <c r="E86" s="45"/>
      <c r="F86" s="45"/>
      <c r="G86" s="45"/>
    </row>
    <row r="87" ht="15.9" spans="1:7">
      <c r="A87" s="79"/>
      <c r="B87" s="79"/>
      <c r="C87" s="82" t="s">
        <v>205</v>
      </c>
      <c r="D87" s="83">
        <f>TRUNC((SUM(D84:D86)),2)</f>
        <v>3857.39</v>
      </c>
      <c r="E87" s="45"/>
      <c r="F87" s="45"/>
      <c r="G87" s="45"/>
    </row>
    <row r="88" ht="15.15" spans="1:7">
      <c r="A88" s="70"/>
      <c r="B88" s="45"/>
      <c r="C88" s="45"/>
      <c r="D88" s="75"/>
      <c r="E88" s="45"/>
      <c r="F88" s="45"/>
      <c r="G88" s="45"/>
    </row>
    <row r="89" spans="1:7">
      <c r="A89" s="96" t="s">
        <v>127</v>
      </c>
      <c r="B89" s="96"/>
      <c r="C89" s="96"/>
      <c r="D89" s="96"/>
      <c r="E89" s="45"/>
      <c r="F89" s="45"/>
      <c r="G89" s="45"/>
    </row>
    <row r="90" spans="1:7">
      <c r="A90" s="69" t="s">
        <v>128</v>
      </c>
      <c r="B90" s="69"/>
      <c r="C90" s="69"/>
      <c r="D90" s="69"/>
      <c r="E90" s="45"/>
      <c r="F90" s="45"/>
      <c r="G90" s="45"/>
    </row>
    <row r="91" spans="1:7">
      <c r="A91" s="70" t="s">
        <v>129</v>
      </c>
      <c r="B91" s="45" t="s">
        <v>130</v>
      </c>
      <c r="C91" s="70" t="s">
        <v>38</v>
      </c>
      <c r="D91" s="70" t="s">
        <v>19</v>
      </c>
      <c r="E91" s="45"/>
      <c r="F91" s="45"/>
      <c r="G91" s="45"/>
    </row>
    <row r="92" spans="1:7">
      <c r="A92" s="70" t="s">
        <v>42</v>
      </c>
      <c r="B92" s="45" t="s">
        <v>214</v>
      </c>
      <c r="C92" s="91">
        <f>(((1+1/3)/12)/12)+((1/12)/12)</f>
        <v>0.0162037037037037</v>
      </c>
      <c r="D92" s="75">
        <f>TRUNC(($D$87*C92),2)</f>
        <v>62.5</v>
      </c>
      <c r="E92" s="45"/>
      <c r="F92" s="45"/>
      <c r="G92" s="45"/>
    </row>
    <row r="93" spans="1:7">
      <c r="A93" s="70" t="s">
        <v>45</v>
      </c>
      <c r="B93" s="45" t="s">
        <v>133</v>
      </c>
      <c r="C93" s="85">
        <f>((2/30)/12)</f>
        <v>0.00555555555555556</v>
      </c>
      <c r="D93" s="88">
        <f t="shared" ref="D92:D96" si="2">TRUNC(($D$87*C93),2)</f>
        <v>21.42</v>
      </c>
      <c r="E93" s="45"/>
      <c r="F93" s="45"/>
      <c r="G93" s="45"/>
    </row>
    <row r="94" spans="1:7">
      <c r="A94" s="70" t="s">
        <v>48</v>
      </c>
      <c r="B94" s="45" t="s">
        <v>134</v>
      </c>
      <c r="C94" s="85">
        <f>((5/30)/12)*0.02</f>
        <v>0.000277777777777778</v>
      </c>
      <c r="D94" s="88">
        <f t="shared" si="2"/>
        <v>1.07</v>
      </c>
      <c r="E94" s="45"/>
      <c r="F94" s="45"/>
      <c r="G94" s="45"/>
    </row>
    <row r="95" spans="1:7">
      <c r="A95" s="86" t="s">
        <v>50</v>
      </c>
      <c r="B95" s="92" t="s">
        <v>135</v>
      </c>
      <c r="C95" s="93">
        <f>((15/30)/12)*0.08</f>
        <v>0.00333333333333333</v>
      </c>
      <c r="D95" s="88">
        <f t="shared" si="2"/>
        <v>12.85</v>
      </c>
      <c r="E95" s="45"/>
      <c r="F95" s="45"/>
      <c r="G95" s="45"/>
    </row>
    <row r="96" spans="1:7">
      <c r="A96" s="70" t="s">
        <v>53</v>
      </c>
      <c r="B96" s="45" t="s">
        <v>136</v>
      </c>
      <c r="C96" s="85">
        <f>((1+1/3)/12)*0.03*((4/12))</f>
        <v>0.00111111111111111</v>
      </c>
      <c r="D96" s="88">
        <f t="shared" si="2"/>
        <v>4.28</v>
      </c>
      <c r="E96" s="45"/>
      <c r="F96" s="45"/>
      <c r="G96" s="45"/>
    </row>
    <row r="97" spans="1:7">
      <c r="A97" s="70" t="s">
        <v>55</v>
      </c>
      <c r="B97" s="92" t="s">
        <v>215</v>
      </c>
      <c r="C97" s="97">
        <v>0</v>
      </c>
      <c r="D97" s="88">
        <f>TRUNC($D$87*C97)</f>
        <v>0</v>
      </c>
      <c r="E97" s="45"/>
      <c r="F97" s="45"/>
      <c r="G97" s="45"/>
    </row>
    <row r="98" spans="1:7">
      <c r="A98" s="70" t="s">
        <v>58</v>
      </c>
      <c r="B98" s="45"/>
      <c r="C98" s="91">
        <f>SUM(C92:C97)</f>
        <v>0.0264814814814815</v>
      </c>
      <c r="D98" s="75">
        <f>TRUNC((SUM(D92:D97)),2)</f>
        <v>102.12</v>
      </c>
      <c r="E98" s="45"/>
      <c r="F98" s="45"/>
      <c r="G98" s="45"/>
    </row>
    <row r="99" spans="1:7">
      <c r="A99" s="70"/>
      <c r="B99" s="45"/>
      <c r="C99" s="70"/>
      <c r="D99" s="75"/>
      <c r="E99" s="45"/>
      <c r="F99" s="45"/>
      <c r="G99" s="45"/>
    </row>
    <row r="100" spans="1:7">
      <c r="A100" s="69" t="s">
        <v>144</v>
      </c>
      <c r="B100" s="69"/>
      <c r="C100" s="69"/>
      <c r="D100" s="69"/>
      <c r="E100" s="45"/>
      <c r="F100" s="45"/>
      <c r="G100" s="45"/>
    </row>
    <row r="101" spans="1:7">
      <c r="A101" s="70" t="s">
        <v>145</v>
      </c>
      <c r="B101" s="45" t="s">
        <v>146</v>
      </c>
      <c r="C101" s="70" t="s">
        <v>18</v>
      </c>
      <c r="D101" s="70" t="s">
        <v>19</v>
      </c>
      <c r="E101" s="45"/>
      <c r="F101" s="45"/>
      <c r="G101" s="45"/>
    </row>
    <row r="102" ht="72" spans="1:7">
      <c r="A102" s="86" t="s">
        <v>42</v>
      </c>
      <c r="B102" s="98" t="s">
        <v>147</v>
      </c>
      <c r="C102" s="99" t="s">
        <v>216</v>
      </c>
      <c r="D102" s="100" t="s">
        <v>217</v>
      </c>
      <c r="E102" s="45"/>
      <c r="F102" s="45"/>
      <c r="G102" s="45"/>
    </row>
    <row r="103" spans="1:7">
      <c r="A103" s="70" t="s">
        <v>58</v>
      </c>
      <c r="B103" s="45"/>
      <c r="C103" s="70"/>
      <c r="D103" s="101" t="str">
        <f>D102</f>
        <v>*=TRUNCAR(($D$86/220)*(1*(365/12))/2)</v>
      </c>
      <c r="E103" s="45"/>
      <c r="F103" s="45"/>
      <c r="G103" s="45"/>
    </row>
    <row r="104" spans="1:7">
      <c r="A104" s="45"/>
      <c r="B104" s="45"/>
      <c r="C104" s="45"/>
      <c r="D104" s="45"/>
      <c r="E104" s="45"/>
      <c r="F104" s="45"/>
      <c r="G104" s="45"/>
    </row>
    <row r="105" spans="1:7">
      <c r="A105" s="69" t="s">
        <v>148</v>
      </c>
      <c r="B105" s="69"/>
      <c r="C105" s="69"/>
      <c r="D105" s="69"/>
      <c r="E105" s="45"/>
      <c r="F105" s="45"/>
      <c r="G105" s="45"/>
    </row>
    <row r="106" spans="1:7">
      <c r="A106" s="70" t="s">
        <v>149</v>
      </c>
      <c r="B106" s="45" t="s">
        <v>150</v>
      </c>
      <c r="C106" s="70" t="s">
        <v>18</v>
      </c>
      <c r="D106" s="70" t="s">
        <v>19</v>
      </c>
      <c r="E106" s="45"/>
      <c r="F106" s="45"/>
      <c r="G106" s="45"/>
    </row>
    <row r="107" spans="1:7">
      <c r="A107" s="70" t="s">
        <v>129</v>
      </c>
      <c r="B107" s="45" t="s">
        <v>130</v>
      </c>
      <c r="C107" s="45"/>
      <c r="D107" s="72">
        <f>D98</f>
        <v>102.12</v>
      </c>
      <c r="E107" s="45"/>
      <c r="F107" s="45"/>
      <c r="G107" s="45"/>
    </row>
    <row r="108" spans="1:7">
      <c r="A108" s="70" t="s">
        <v>145</v>
      </c>
      <c r="B108" s="45" t="s">
        <v>151</v>
      </c>
      <c r="C108" s="45"/>
      <c r="D108" s="102" t="str">
        <f>Submódulo4.260_8120[[#Totals],[Valor]]</f>
        <v>*=TRUNCAR(($D$86/220)*(1*(365/12))/2)</v>
      </c>
      <c r="E108" s="45"/>
      <c r="F108" s="45"/>
      <c r="G108" s="45"/>
    </row>
    <row r="109" ht="43.2" spans="1:7">
      <c r="A109" s="86" t="s">
        <v>58</v>
      </c>
      <c r="B109" s="87"/>
      <c r="C109" s="99" t="s">
        <v>218</v>
      </c>
      <c r="D109" s="103">
        <f>TRUNC((SUM(D107:D108)),2)</f>
        <v>102.12</v>
      </c>
      <c r="E109" s="45"/>
      <c r="F109" s="45"/>
      <c r="G109" s="45"/>
    </row>
    <row r="110" spans="1:7">
      <c r="A110" s="45"/>
      <c r="B110" s="45"/>
      <c r="C110" s="45"/>
      <c r="D110" s="45"/>
      <c r="E110" s="45"/>
      <c r="F110" s="45"/>
      <c r="G110" s="45"/>
    </row>
    <row r="111" spans="1:7">
      <c r="A111" s="53" t="s">
        <v>152</v>
      </c>
      <c r="B111" s="53"/>
      <c r="C111" s="53"/>
      <c r="D111" s="53"/>
      <c r="E111" s="45"/>
      <c r="F111" s="45"/>
      <c r="G111" s="45"/>
    </row>
    <row r="112" spans="1:7">
      <c r="A112" s="70" t="s">
        <v>153</v>
      </c>
      <c r="B112" s="45" t="s">
        <v>154</v>
      </c>
      <c r="C112" s="70" t="s">
        <v>18</v>
      </c>
      <c r="D112" s="70" t="s">
        <v>19</v>
      </c>
      <c r="E112" s="45"/>
      <c r="F112" s="45"/>
      <c r="G112" s="45"/>
    </row>
    <row r="113" spans="1:7">
      <c r="A113" s="70" t="s">
        <v>42</v>
      </c>
      <c r="B113" s="45" t="s">
        <v>219</v>
      </c>
      <c r="C113" s="45"/>
      <c r="D113" s="72">
        <f>Uniformes!G22</f>
        <v>200.28</v>
      </c>
      <c r="E113" s="45"/>
      <c r="F113" s="45"/>
      <c r="G113" s="45"/>
    </row>
    <row r="114" spans="1:7">
      <c r="A114" s="70" t="s">
        <v>45</v>
      </c>
      <c r="B114" s="45" t="s">
        <v>220</v>
      </c>
      <c r="C114" s="45"/>
      <c r="D114" s="72">
        <f>EPC!E21</f>
        <v>71.81</v>
      </c>
      <c r="E114" s="45"/>
      <c r="F114" s="45"/>
      <c r="G114" s="45"/>
    </row>
    <row r="115" spans="1:7">
      <c r="A115" s="70" t="s">
        <v>48</v>
      </c>
      <c r="B115" s="45" t="s">
        <v>156</v>
      </c>
      <c r="C115" s="45"/>
      <c r="D115" s="72">
        <v>0</v>
      </c>
      <c r="E115" s="45"/>
      <c r="F115" s="45"/>
      <c r="G115" s="45"/>
    </row>
    <row r="116" spans="1:7">
      <c r="A116" s="70" t="s">
        <v>50</v>
      </c>
      <c r="B116" s="45" t="s">
        <v>157</v>
      </c>
      <c r="C116" s="45"/>
      <c r="D116" s="72">
        <v>0</v>
      </c>
      <c r="E116" s="45"/>
      <c r="F116" s="45"/>
      <c r="G116" s="45"/>
    </row>
    <row r="117" spans="1:7">
      <c r="A117" s="70" t="s">
        <v>53</v>
      </c>
      <c r="B117" s="45" t="s">
        <v>56</v>
      </c>
      <c r="C117" s="45"/>
      <c r="D117" s="72">
        <f>H116</f>
        <v>0</v>
      </c>
      <c r="E117" s="45"/>
      <c r="F117" s="45"/>
      <c r="G117" s="45"/>
    </row>
    <row r="118" spans="1:7">
      <c r="A118" s="70" t="s">
        <v>58</v>
      </c>
      <c r="B118" s="45"/>
      <c r="C118" s="45"/>
      <c r="D118" s="75">
        <f>TRUNC(SUM((D113:D117)),2)</f>
        <v>272.09</v>
      </c>
      <c r="E118" s="45"/>
      <c r="F118" s="45"/>
      <c r="G118" s="45"/>
    </row>
    <row r="119" ht="15.15" spans="1:7">
      <c r="A119" s="45"/>
      <c r="B119" s="45"/>
      <c r="C119" s="45"/>
      <c r="D119" s="45"/>
      <c r="E119" s="45"/>
      <c r="F119" s="45"/>
      <c r="G119" s="45"/>
    </row>
    <row r="120" ht="15.9" spans="1:7">
      <c r="A120" s="79" t="s">
        <v>221</v>
      </c>
      <c r="B120" s="79"/>
      <c r="C120" s="80" t="s">
        <v>203</v>
      </c>
      <c r="D120" s="81">
        <f>D31</f>
        <v>1986.4</v>
      </c>
      <c r="E120" s="45"/>
      <c r="F120" s="45"/>
      <c r="G120" s="45"/>
    </row>
    <row r="121" ht="15.9" spans="1:7">
      <c r="A121" s="79"/>
      <c r="B121" s="79"/>
      <c r="C121" s="82" t="s">
        <v>212</v>
      </c>
      <c r="D121" s="81">
        <f>D72</f>
        <v>1747.22</v>
      </c>
      <c r="E121" s="45"/>
      <c r="F121" s="45"/>
      <c r="G121" s="45"/>
    </row>
    <row r="122" ht="15.9" spans="1:7">
      <c r="A122" s="79"/>
      <c r="B122" s="79"/>
      <c r="C122" s="80" t="s">
        <v>213</v>
      </c>
      <c r="D122" s="81">
        <f>D82</f>
        <v>123.77</v>
      </c>
      <c r="E122" s="45"/>
      <c r="F122" s="45"/>
      <c r="G122" s="45"/>
    </row>
    <row r="123" ht="15.9" spans="1:7">
      <c r="A123" s="79"/>
      <c r="B123" s="79"/>
      <c r="C123" s="82" t="s">
        <v>222</v>
      </c>
      <c r="D123" s="81">
        <f>D109</f>
        <v>102.12</v>
      </c>
      <c r="E123" s="45"/>
      <c r="F123" s="45"/>
      <c r="G123" s="45"/>
    </row>
    <row r="124" ht="15.9" spans="1:7">
      <c r="A124" s="79"/>
      <c r="B124" s="79"/>
      <c r="C124" s="80" t="s">
        <v>223</v>
      </c>
      <c r="D124" s="81">
        <f>D118</f>
        <v>272.09</v>
      </c>
      <c r="E124" s="45"/>
      <c r="F124" s="45"/>
      <c r="G124" s="45"/>
    </row>
    <row r="125" ht="15.9" spans="1:7">
      <c r="A125" s="79"/>
      <c r="B125" s="79"/>
      <c r="C125" s="82" t="s">
        <v>205</v>
      </c>
      <c r="D125" s="83">
        <f>TRUNC((SUM(D120:D124)),2)</f>
        <v>4231.6</v>
      </c>
      <c r="E125" s="45"/>
      <c r="F125" s="45"/>
      <c r="G125" s="45"/>
    </row>
    <row r="126" ht="15.15" spans="1:7">
      <c r="A126" s="45"/>
      <c r="B126" s="45"/>
      <c r="C126" s="45"/>
      <c r="D126" s="45"/>
      <c r="E126" s="45"/>
      <c r="F126" s="45"/>
      <c r="G126" s="45"/>
    </row>
    <row r="127" spans="1:7">
      <c r="A127" s="53" t="s">
        <v>164</v>
      </c>
      <c r="B127" s="53"/>
      <c r="C127" s="53"/>
      <c r="D127" s="53"/>
      <c r="E127" s="45"/>
      <c r="F127" s="45"/>
      <c r="G127" s="45"/>
    </row>
    <row r="128" spans="1:7">
      <c r="A128" s="70" t="s">
        <v>165</v>
      </c>
      <c r="B128" s="45" t="s">
        <v>166</v>
      </c>
      <c r="C128" s="70" t="s">
        <v>38</v>
      </c>
      <c r="D128" s="70" t="s">
        <v>19</v>
      </c>
      <c r="E128" s="45"/>
      <c r="F128" s="104" t="s">
        <v>224</v>
      </c>
      <c r="G128" s="104"/>
    </row>
    <row r="129" ht="15.15" spans="1:7">
      <c r="A129" s="70" t="s">
        <v>42</v>
      </c>
      <c r="B129" s="45" t="s">
        <v>167</v>
      </c>
      <c r="C129" s="85">
        <v>0.044</v>
      </c>
      <c r="D129" s="72">
        <f>TRUNC(($D$125*C129),2)</f>
        <v>186.19</v>
      </c>
      <c r="E129" s="45"/>
      <c r="F129" s="105" t="s">
        <v>225</v>
      </c>
      <c r="G129" s="93">
        <f>C131</f>
        <v>0.0865</v>
      </c>
    </row>
    <row r="130" ht="15.15" spans="1:7">
      <c r="A130" s="70" t="s">
        <v>45</v>
      </c>
      <c r="B130" s="45" t="s">
        <v>59</v>
      </c>
      <c r="C130" s="85">
        <v>0.0413</v>
      </c>
      <c r="D130" s="72">
        <f>TRUNC((C130*(D125+D129)),2)</f>
        <v>182.45</v>
      </c>
      <c r="E130" s="45"/>
      <c r="F130" s="106" t="s">
        <v>226</v>
      </c>
      <c r="G130" s="114">
        <f>TRUNC(SUM(D125,D129,D130),2)</f>
        <v>4600.24</v>
      </c>
    </row>
    <row r="131" spans="1:7">
      <c r="A131" s="70" t="s">
        <v>48</v>
      </c>
      <c r="B131" s="45" t="s">
        <v>168</v>
      </c>
      <c r="C131" s="85">
        <f>SUM(C132:C134)</f>
        <v>0.0865</v>
      </c>
      <c r="D131" s="72">
        <f>TRUNC((SUM(D132:D134)),2)</f>
        <v>435.59</v>
      </c>
      <c r="E131" s="45"/>
      <c r="F131" s="105" t="s">
        <v>227</v>
      </c>
      <c r="G131" s="108">
        <f>(100-8.65)/100</f>
        <v>0.9135</v>
      </c>
    </row>
    <row r="132" ht="15.15" spans="1:7">
      <c r="A132" s="70"/>
      <c r="B132" s="45" t="s">
        <v>228</v>
      </c>
      <c r="C132" s="85">
        <v>0.0065</v>
      </c>
      <c r="D132" s="72">
        <f t="shared" ref="D132:D134" si="3">TRUNC(($G$132*C132),2)</f>
        <v>32.73</v>
      </c>
      <c r="E132" s="45"/>
      <c r="F132" s="106" t="s">
        <v>224</v>
      </c>
      <c r="G132" s="114">
        <f>TRUNC((G130/G131),2)</f>
        <v>5035.84</v>
      </c>
    </row>
    <row r="133" ht="15.15" spans="1:7">
      <c r="A133" s="70"/>
      <c r="B133" s="45" t="s">
        <v>229</v>
      </c>
      <c r="C133" s="85">
        <v>0.03</v>
      </c>
      <c r="D133" s="72">
        <f t="shared" si="3"/>
        <v>151.07</v>
      </c>
      <c r="E133" s="45"/>
      <c r="F133" s="45"/>
      <c r="G133" s="45"/>
    </row>
    <row r="134" spans="1:7">
      <c r="A134" s="70"/>
      <c r="B134" s="45" t="s">
        <v>230</v>
      </c>
      <c r="C134" s="85">
        <v>0.05</v>
      </c>
      <c r="D134" s="72">
        <f t="shared" si="3"/>
        <v>251.79</v>
      </c>
      <c r="E134" s="45"/>
      <c r="F134" s="45"/>
      <c r="G134" s="45"/>
    </row>
    <row r="135" spans="1:7">
      <c r="A135" s="70" t="s">
        <v>58</v>
      </c>
      <c r="B135" s="45"/>
      <c r="C135" s="70"/>
      <c r="D135" s="75">
        <f>TRUNC(SUM(D129:D131),2)</f>
        <v>804.23</v>
      </c>
      <c r="E135" s="45"/>
      <c r="F135" s="45"/>
      <c r="G135" s="45"/>
    </row>
    <row r="136" spans="1:7">
      <c r="A136" s="70"/>
      <c r="B136" s="45"/>
      <c r="C136" s="70"/>
      <c r="D136" s="75"/>
      <c r="E136" s="45"/>
      <c r="F136" s="45"/>
      <c r="G136" s="45"/>
    </row>
    <row r="137" spans="1:7">
      <c r="A137" s="45"/>
      <c r="B137" s="45"/>
      <c r="C137" s="45"/>
      <c r="D137" s="45"/>
      <c r="E137" s="45"/>
      <c r="F137" s="45"/>
      <c r="G137" s="45"/>
    </row>
    <row r="138" spans="1:7">
      <c r="A138" s="53" t="s">
        <v>172</v>
      </c>
      <c r="B138" s="53"/>
      <c r="C138" s="53"/>
      <c r="D138" s="53"/>
      <c r="E138" s="45"/>
      <c r="F138" s="45"/>
      <c r="G138" s="45"/>
    </row>
    <row r="139" spans="1:7">
      <c r="A139" s="70" t="s">
        <v>16</v>
      </c>
      <c r="B139" s="70" t="s">
        <v>173</v>
      </c>
      <c r="C139" s="70" t="s">
        <v>102</v>
      </c>
      <c r="D139" s="70" t="s">
        <v>19</v>
      </c>
      <c r="E139" s="45"/>
      <c r="F139" s="45"/>
      <c r="G139" s="45"/>
    </row>
    <row r="140" spans="1:7">
      <c r="A140" s="70" t="s">
        <v>42</v>
      </c>
      <c r="B140" s="45" t="s">
        <v>36</v>
      </c>
      <c r="C140" s="45"/>
      <c r="D140" s="75">
        <f>D31</f>
        <v>1986.4</v>
      </c>
      <c r="E140" s="45"/>
      <c r="F140" s="45"/>
      <c r="G140" s="45"/>
    </row>
    <row r="141" spans="1:7">
      <c r="A141" s="70" t="s">
        <v>45</v>
      </c>
      <c r="B141" s="45" t="s">
        <v>61</v>
      </c>
      <c r="C141" s="45"/>
      <c r="D141" s="75">
        <f>D72</f>
        <v>1747.22</v>
      </c>
      <c r="E141" s="45"/>
      <c r="F141" s="45"/>
      <c r="G141" s="45"/>
    </row>
    <row r="142" spans="1:7">
      <c r="A142" s="70" t="s">
        <v>48</v>
      </c>
      <c r="B142" s="45" t="s">
        <v>108</v>
      </c>
      <c r="C142" s="45"/>
      <c r="D142" s="75">
        <f>D82</f>
        <v>123.77</v>
      </c>
      <c r="E142" s="45"/>
      <c r="F142" s="45"/>
      <c r="G142" s="45"/>
    </row>
    <row r="143" spans="1:7">
      <c r="A143" s="70" t="s">
        <v>50</v>
      </c>
      <c r="B143" s="45" t="s">
        <v>174</v>
      </c>
      <c r="C143" s="45"/>
      <c r="D143" s="75">
        <f>D109</f>
        <v>102.12</v>
      </c>
      <c r="E143" s="45"/>
      <c r="F143" s="45"/>
      <c r="G143" s="45"/>
    </row>
    <row r="144" spans="1:7">
      <c r="A144" s="70" t="s">
        <v>53</v>
      </c>
      <c r="B144" s="45" t="s">
        <v>152</v>
      </c>
      <c r="C144" s="45"/>
      <c r="D144" s="75">
        <f>D118</f>
        <v>272.09</v>
      </c>
      <c r="E144" s="45"/>
      <c r="F144" s="45"/>
      <c r="G144" s="45"/>
    </row>
    <row r="145" spans="1:7">
      <c r="A145" s="45"/>
      <c r="B145" s="109" t="s">
        <v>175</v>
      </c>
      <c r="C145" s="45"/>
      <c r="D145" s="75">
        <f>TRUNC(SUM(D140:D144),2)</f>
        <v>4231.6</v>
      </c>
      <c r="E145" s="45"/>
      <c r="F145" s="45"/>
      <c r="G145" s="45"/>
    </row>
    <row r="146" spans="1:7">
      <c r="A146" s="70" t="s">
        <v>55</v>
      </c>
      <c r="B146" s="45" t="s">
        <v>164</v>
      </c>
      <c r="C146" s="45"/>
      <c r="D146" s="75">
        <f>D135</f>
        <v>804.23</v>
      </c>
      <c r="E146" s="45"/>
      <c r="F146" s="45"/>
      <c r="G146" s="45"/>
    </row>
    <row r="147" spans="1:7">
      <c r="A147" s="110"/>
      <c r="B147" s="111" t="s">
        <v>231</v>
      </c>
      <c r="C147" s="110"/>
      <c r="D147" s="112">
        <f>TRUNC((SUM(D140:D144)+D146),2)</f>
        <v>5035.83</v>
      </c>
      <c r="E147" s="45"/>
      <c r="F147" s="45"/>
      <c r="G147" s="45"/>
    </row>
    <row r="148" spans="1:7">
      <c r="A148" s="45"/>
      <c r="B148" s="45"/>
      <c r="C148" s="45"/>
      <c r="D148" s="45"/>
      <c r="E148" s="45"/>
      <c r="F148" s="45"/>
      <c r="G148" s="45"/>
    </row>
    <row r="149" spans="1:7">
      <c r="A149" s="45"/>
      <c r="B149" s="45"/>
      <c r="C149" s="45"/>
      <c r="D149" s="45"/>
      <c r="E149" s="45"/>
      <c r="F149" s="45"/>
      <c r="G149" s="45"/>
    </row>
    <row r="150" spans="1:7">
      <c r="A150" s="45"/>
      <c r="B150" s="45"/>
      <c r="C150" s="45"/>
      <c r="D150" s="45"/>
      <c r="E150" s="45"/>
      <c r="F150" s="45"/>
      <c r="G150" s="45"/>
    </row>
    <row r="151" spans="1:7">
      <c r="A151" s="45"/>
      <c r="B151" s="45"/>
      <c r="C151" s="45"/>
      <c r="D151" s="45"/>
      <c r="E151" s="45"/>
      <c r="F151" s="45"/>
      <c r="G151" s="45"/>
    </row>
    <row r="152" spans="1:7">
      <c r="A152" s="45"/>
      <c r="B152" s="45"/>
      <c r="C152" s="45"/>
      <c r="D152" s="45"/>
      <c r="E152" s="45"/>
      <c r="F152" s="45"/>
      <c r="G152" s="45"/>
    </row>
    <row r="153" spans="1:7">
      <c r="A153" s="45"/>
      <c r="B153" s="45"/>
      <c r="C153" s="45"/>
      <c r="D153" s="45"/>
      <c r="E153" s="45"/>
      <c r="F153" s="45"/>
      <c r="G153" s="45"/>
    </row>
    <row r="154" spans="1:7">
      <c r="A154" s="45"/>
      <c r="B154" s="45"/>
      <c r="C154" s="45"/>
      <c r="D154" s="45"/>
      <c r="E154" s="45"/>
      <c r="F154" s="45"/>
      <c r="G154" s="45"/>
    </row>
    <row r="155" spans="1:7">
      <c r="A155" s="45"/>
      <c r="B155" s="45"/>
      <c r="C155" s="45"/>
      <c r="D155" s="45"/>
      <c r="E155" s="45"/>
      <c r="F155" s="45"/>
      <c r="G155" s="45"/>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7"/>
  <sheetViews>
    <sheetView topLeftCell="A134" workbookViewId="0">
      <selection activeCell="A2" sqref="A2:D148"/>
    </sheetView>
  </sheetViews>
  <sheetFormatPr defaultColWidth="9.13888888888889" defaultRowHeight="14.4" outlineLevelCol="6"/>
  <cols>
    <col min="1" max="1" width="10.5555555555556" customWidth="1"/>
    <col min="2" max="2" width="52.1111111111111" customWidth="1"/>
    <col min="3" max="3" width="27.1111111111111" customWidth="1"/>
    <col min="4" max="4" width="32.8888888888889" customWidth="1"/>
    <col min="6" max="6" width="21.5740740740741" customWidth="1"/>
    <col min="7" max="7" width="18.1388888888889" customWidth="1"/>
  </cols>
  <sheetData>
    <row r="1" spans="1:7">
      <c r="A1" s="45"/>
      <c r="B1" s="45"/>
      <c r="C1" s="45"/>
      <c r="D1" s="45"/>
      <c r="E1" s="45"/>
      <c r="F1" s="45"/>
      <c r="G1" s="45"/>
    </row>
    <row r="2" ht="18.75" spans="1:7">
      <c r="A2" s="46" t="s">
        <v>177</v>
      </c>
      <c r="B2" s="46"/>
      <c r="C2" s="46"/>
      <c r="D2" s="46"/>
      <c r="E2" s="45"/>
      <c r="F2" s="45"/>
      <c r="G2" s="45"/>
    </row>
    <row r="3" ht="15.15" spans="1:7">
      <c r="A3" s="47" t="s">
        <v>178</v>
      </c>
      <c r="B3" s="47"/>
      <c r="C3" s="47"/>
      <c r="D3" s="47"/>
      <c r="E3" s="45"/>
      <c r="F3" s="45"/>
      <c r="G3" s="45"/>
    </row>
    <row r="4" spans="1:7">
      <c r="A4" s="48" t="s">
        <v>179</v>
      </c>
      <c r="B4" s="49" t="s">
        <v>180</v>
      </c>
      <c r="C4" s="50"/>
      <c r="D4" s="50"/>
      <c r="E4" s="45"/>
      <c r="F4" s="45"/>
      <c r="G4" s="45"/>
    </row>
    <row r="5" spans="1:7">
      <c r="A5" s="51"/>
      <c r="B5" s="52"/>
      <c r="C5" s="52"/>
      <c r="D5" s="52"/>
      <c r="E5" s="45"/>
      <c r="F5" s="45"/>
      <c r="G5" s="45"/>
    </row>
    <row r="6" ht="15.15" spans="1:7">
      <c r="A6" s="53" t="s">
        <v>181</v>
      </c>
      <c r="B6" s="53"/>
      <c r="C6" s="53"/>
      <c r="D6" s="53"/>
      <c r="E6" s="45"/>
      <c r="F6" s="45"/>
      <c r="G6" s="45"/>
    </row>
    <row r="7" ht="15.15" spans="1:7">
      <c r="A7" s="54" t="s">
        <v>42</v>
      </c>
      <c r="B7" s="55" t="s">
        <v>182</v>
      </c>
      <c r="C7" s="56" t="s">
        <v>183</v>
      </c>
      <c r="D7" s="56"/>
      <c r="E7" s="45"/>
      <c r="F7" s="45"/>
      <c r="G7" s="45"/>
    </row>
    <row r="8" spans="1:7">
      <c r="A8" s="57" t="s">
        <v>45</v>
      </c>
      <c r="B8" s="58" t="s">
        <v>184</v>
      </c>
      <c r="C8" s="59" t="s">
        <v>185</v>
      </c>
      <c r="D8" s="59"/>
      <c r="E8" s="45"/>
      <c r="F8" s="45"/>
      <c r="G8" s="45"/>
    </row>
    <row r="9" spans="1:7">
      <c r="A9" s="60" t="s">
        <v>48</v>
      </c>
      <c r="B9" s="61" t="s">
        <v>186</v>
      </c>
      <c r="C9" s="59" t="s">
        <v>187</v>
      </c>
      <c r="D9" s="59"/>
      <c r="E9" s="45"/>
      <c r="F9" s="45"/>
      <c r="G9" s="45"/>
    </row>
    <row r="10" spans="1:7">
      <c r="A10" s="57" t="s">
        <v>53</v>
      </c>
      <c r="B10" s="58" t="s">
        <v>188</v>
      </c>
      <c r="C10" s="59" t="s">
        <v>189</v>
      </c>
      <c r="D10" s="59"/>
      <c r="E10" s="45"/>
      <c r="F10" s="45"/>
      <c r="G10" s="45"/>
    </row>
    <row r="11" ht="15.15" spans="1:7">
      <c r="A11" s="62" t="s">
        <v>190</v>
      </c>
      <c r="B11" s="62"/>
      <c r="C11" s="62"/>
      <c r="D11" s="62"/>
      <c r="E11" s="45"/>
      <c r="F11" s="45"/>
      <c r="G11" s="45"/>
    </row>
    <row r="12" ht="15.9" spans="1:7">
      <c r="A12" s="63" t="s">
        <v>191</v>
      </c>
      <c r="B12" s="63"/>
      <c r="C12" s="62" t="s">
        <v>192</v>
      </c>
      <c r="D12" s="64" t="s">
        <v>193</v>
      </c>
      <c r="E12" s="45"/>
      <c r="F12" s="45"/>
      <c r="G12" s="45"/>
    </row>
    <row r="13" ht="15.15" spans="1:7">
      <c r="A13" s="65" t="s">
        <v>232</v>
      </c>
      <c r="B13" s="65"/>
      <c r="C13" s="59" t="s">
        <v>195</v>
      </c>
      <c r="D13" s="66">
        <f>RESUMO!D4</f>
        <v>1</v>
      </c>
      <c r="E13" s="45"/>
      <c r="F13" s="45"/>
      <c r="G13" s="45"/>
    </row>
    <row r="14" spans="1:7">
      <c r="A14" s="67"/>
      <c r="B14" s="67"/>
      <c r="C14" s="59"/>
      <c r="D14" s="68"/>
      <c r="E14" s="45"/>
      <c r="F14" s="45"/>
      <c r="G14" s="45"/>
    </row>
    <row r="15" ht="15.15" spans="1:7">
      <c r="A15" s="62" t="s">
        <v>14</v>
      </c>
      <c r="B15" s="62"/>
      <c r="C15" s="62"/>
      <c r="D15" s="62"/>
      <c r="E15" s="45"/>
      <c r="F15" s="69"/>
      <c r="G15" s="69"/>
    </row>
    <row r="16" ht="15.15" spans="1:7">
      <c r="A16" s="70" t="s">
        <v>16</v>
      </c>
      <c r="B16" s="45" t="s">
        <v>17</v>
      </c>
      <c r="C16" s="70" t="s">
        <v>18</v>
      </c>
      <c r="D16" s="70" t="s">
        <v>19</v>
      </c>
      <c r="E16" s="45"/>
      <c r="F16" s="45"/>
      <c r="G16" s="45"/>
    </row>
    <row r="17" spans="1:7">
      <c r="A17" s="70">
        <v>1</v>
      </c>
      <c r="B17" s="45" t="s">
        <v>20</v>
      </c>
      <c r="C17" s="71" t="s">
        <v>102</v>
      </c>
      <c r="D17" s="71" t="str">
        <f>A13</f>
        <v>Técnico Mecânico em Refrigeração</v>
      </c>
      <c r="E17" s="45"/>
      <c r="F17" s="45"/>
      <c r="G17" s="45"/>
    </row>
    <row r="18" spans="1:7">
      <c r="A18" s="70">
        <v>2</v>
      </c>
      <c r="B18" s="45" t="s">
        <v>23</v>
      </c>
      <c r="C18" s="71" t="s">
        <v>196</v>
      </c>
      <c r="D18" s="71" t="s">
        <v>233</v>
      </c>
      <c r="E18" s="45"/>
      <c r="F18" s="45"/>
      <c r="G18" s="45"/>
    </row>
    <row r="19" spans="1:7">
      <c r="A19" s="70">
        <v>3</v>
      </c>
      <c r="B19" s="45" t="s">
        <v>26</v>
      </c>
      <c r="C19" s="71" t="str">
        <f>C9</f>
        <v>CCT PB 000047/2021</v>
      </c>
      <c r="D19" s="72">
        <v>1528</v>
      </c>
      <c r="E19" s="45"/>
      <c r="F19" s="45"/>
      <c r="G19" s="45"/>
    </row>
    <row r="20" spans="1:7">
      <c r="A20" s="70">
        <v>4</v>
      </c>
      <c r="B20" s="45" t="s">
        <v>29</v>
      </c>
      <c r="C20" s="71" t="str">
        <f>C9</f>
        <v>CCT PB 000047/2021</v>
      </c>
      <c r="D20" s="71" t="s">
        <v>198</v>
      </c>
      <c r="E20" s="45"/>
      <c r="F20" s="45"/>
      <c r="G20" s="45"/>
    </row>
    <row r="21" spans="1:7">
      <c r="A21" s="70">
        <v>5</v>
      </c>
      <c r="B21" s="45" t="s">
        <v>33</v>
      </c>
      <c r="C21" s="71" t="str">
        <f>C9</f>
        <v>CCT PB 000047/2021</v>
      </c>
      <c r="D21" s="73" t="s">
        <v>199</v>
      </c>
      <c r="E21" s="45"/>
      <c r="F21" s="45"/>
      <c r="G21" s="45"/>
    </row>
    <row r="22" spans="1:7">
      <c r="A22" s="45"/>
      <c r="B22" s="45"/>
      <c r="C22" s="45"/>
      <c r="D22" s="45"/>
      <c r="E22" s="45"/>
      <c r="F22" s="69"/>
      <c r="G22" s="69"/>
    </row>
    <row r="23" spans="1:7">
      <c r="A23" s="53" t="s">
        <v>36</v>
      </c>
      <c r="B23" s="53"/>
      <c r="C23" s="53"/>
      <c r="D23" s="53"/>
      <c r="E23" s="45"/>
      <c r="F23" s="45"/>
      <c r="G23" s="45"/>
    </row>
    <row r="24" spans="1:7">
      <c r="A24" s="70" t="s">
        <v>39</v>
      </c>
      <c r="B24" s="45" t="s">
        <v>40</v>
      </c>
      <c r="C24" s="70" t="s">
        <v>18</v>
      </c>
      <c r="D24" s="70" t="s">
        <v>19</v>
      </c>
      <c r="E24" s="45"/>
      <c r="F24" s="45"/>
      <c r="G24" s="74"/>
    </row>
    <row r="25" spans="1:7">
      <c r="A25" s="70" t="s">
        <v>42</v>
      </c>
      <c r="B25" s="45" t="s">
        <v>43</v>
      </c>
      <c r="C25" s="71" t="s">
        <v>200</v>
      </c>
      <c r="D25" s="72">
        <f>D19</f>
        <v>1528</v>
      </c>
      <c r="E25" s="45"/>
      <c r="F25" s="45"/>
      <c r="G25" s="74"/>
    </row>
    <row r="26" spans="1:7">
      <c r="A26" s="70" t="s">
        <v>45</v>
      </c>
      <c r="B26" s="45" t="s">
        <v>46</v>
      </c>
      <c r="C26" s="71"/>
      <c r="D26" s="72">
        <v>0</v>
      </c>
      <c r="E26" s="45"/>
      <c r="F26" s="45"/>
      <c r="G26" s="74"/>
    </row>
    <row r="27" spans="1:7">
      <c r="A27" s="70" t="s">
        <v>48</v>
      </c>
      <c r="B27" s="45" t="s">
        <v>49</v>
      </c>
      <c r="C27" s="71"/>
      <c r="D27" s="72">
        <v>0</v>
      </c>
      <c r="E27" s="45"/>
      <c r="F27" s="45"/>
      <c r="G27" s="45"/>
    </row>
    <row r="28" spans="1:7">
      <c r="A28" s="70" t="s">
        <v>50</v>
      </c>
      <c r="B28" s="45" t="s">
        <v>51</v>
      </c>
      <c r="C28" s="71"/>
      <c r="D28" s="72">
        <v>0</v>
      </c>
      <c r="E28" s="45"/>
      <c r="F28" s="45"/>
      <c r="G28" s="45"/>
    </row>
    <row r="29" spans="1:7">
      <c r="A29" s="70" t="s">
        <v>53</v>
      </c>
      <c r="B29" s="45" t="s">
        <v>54</v>
      </c>
      <c r="C29" s="71"/>
      <c r="D29" s="72">
        <v>0</v>
      </c>
      <c r="E29" s="45"/>
      <c r="F29" s="45"/>
      <c r="G29" s="45"/>
    </row>
    <row r="30" spans="1:7">
      <c r="A30" s="70" t="s">
        <v>55</v>
      </c>
      <c r="B30" s="45" t="s">
        <v>56</v>
      </c>
      <c r="C30" s="71"/>
      <c r="D30" s="72">
        <v>0</v>
      </c>
      <c r="E30" s="45"/>
      <c r="F30" s="45"/>
      <c r="G30" s="45"/>
    </row>
    <row r="31" spans="1:7">
      <c r="A31" s="70" t="s">
        <v>58</v>
      </c>
      <c r="B31" s="45"/>
      <c r="C31" s="70"/>
      <c r="D31" s="75">
        <f>TRUNC(SUM(D25:D30),2)</f>
        <v>1528</v>
      </c>
      <c r="E31" s="45"/>
      <c r="F31" s="69"/>
      <c r="G31" s="69"/>
    </row>
    <row r="32" spans="1:7">
      <c r="A32" s="45"/>
      <c r="B32" s="45"/>
      <c r="C32" s="45"/>
      <c r="D32" s="45"/>
      <c r="E32" s="45"/>
      <c r="F32" s="45"/>
      <c r="G32" s="45"/>
    </row>
    <row r="33" spans="1:7">
      <c r="A33" s="76" t="s">
        <v>61</v>
      </c>
      <c r="B33" s="76"/>
      <c r="C33" s="76"/>
      <c r="D33" s="76"/>
      <c r="E33" s="45"/>
      <c r="F33" s="45"/>
      <c r="G33" s="74"/>
    </row>
    <row r="34" spans="1:7">
      <c r="A34" s="45"/>
      <c r="B34" s="45"/>
      <c r="C34" s="45"/>
      <c r="D34" s="45"/>
      <c r="E34" s="45"/>
      <c r="F34" s="45"/>
      <c r="G34" s="45"/>
    </row>
    <row r="35" spans="1:7">
      <c r="A35" s="69" t="s">
        <v>63</v>
      </c>
      <c r="B35" s="69"/>
      <c r="C35" s="69"/>
      <c r="D35" s="69"/>
      <c r="E35" s="45"/>
      <c r="F35" s="45"/>
      <c r="G35" s="45"/>
    </row>
    <row r="36" spans="1:7">
      <c r="A36" s="70" t="s">
        <v>65</v>
      </c>
      <c r="B36" s="45" t="s">
        <v>66</v>
      </c>
      <c r="C36" s="70" t="s">
        <v>38</v>
      </c>
      <c r="D36" s="70" t="s">
        <v>19</v>
      </c>
      <c r="E36" s="45"/>
      <c r="F36" s="45"/>
      <c r="G36" s="45"/>
    </row>
    <row r="37" spans="1:7">
      <c r="A37" s="70" t="s">
        <v>42</v>
      </c>
      <c r="B37" s="45" t="s">
        <v>67</v>
      </c>
      <c r="C37" s="77">
        <f>(1/12)</f>
        <v>0.0833333333333333</v>
      </c>
      <c r="D37" s="75">
        <f>TRUNC($D$31*C37,2)</f>
        <v>127.33</v>
      </c>
      <c r="E37" s="45"/>
      <c r="F37" s="78"/>
      <c r="G37" s="78"/>
    </row>
    <row r="38" spans="1:7">
      <c r="A38" s="70" t="s">
        <v>45</v>
      </c>
      <c r="B38" s="45" t="s">
        <v>68</v>
      </c>
      <c r="C38" s="77">
        <f>(((1+1/3)/12))</f>
        <v>0.111111111111111</v>
      </c>
      <c r="D38" s="75">
        <f>TRUNC($D$31*C38,2)</f>
        <v>169.77</v>
      </c>
      <c r="E38" s="45"/>
      <c r="F38" s="78"/>
      <c r="G38" s="78"/>
    </row>
    <row r="39" spans="1:7">
      <c r="A39" s="70" t="s">
        <v>58</v>
      </c>
      <c r="B39" s="45"/>
      <c r="C39" s="45"/>
      <c r="D39" s="75">
        <f>TRUNC((SUM(D37:D38)),2)</f>
        <v>297.1</v>
      </c>
      <c r="E39" s="45"/>
      <c r="F39" s="78"/>
      <c r="G39" s="78"/>
    </row>
    <row r="40" ht="15.15" spans="1:7">
      <c r="A40" s="45"/>
      <c r="B40" s="45"/>
      <c r="C40" s="45"/>
      <c r="D40" s="75"/>
      <c r="E40" s="45"/>
      <c r="F40" s="78"/>
      <c r="G40" s="78"/>
    </row>
    <row r="41" ht="15.9" spans="1:7">
      <c r="A41" s="79" t="s">
        <v>202</v>
      </c>
      <c r="B41" s="79"/>
      <c r="C41" s="80" t="s">
        <v>203</v>
      </c>
      <c r="D41" s="81">
        <f>D31</f>
        <v>1528</v>
      </c>
      <c r="E41" s="45"/>
      <c r="F41" s="78"/>
      <c r="G41" s="78"/>
    </row>
    <row r="42" ht="15.9" spans="1:7">
      <c r="A42" s="79"/>
      <c r="B42" s="79"/>
      <c r="C42" s="82" t="s">
        <v>204</v>
      </c>
      <c r="D42" s="81">
        <f>D39</f>
        <v>297.1</v>
      </c>
      <c r="E42" s="45"/>
      <c r="F42" s="78"/>
      <c r="G42" s="78"/>
    </row>
    <row r="43" ht="15.9" spans="1:7">
      <c r="A43" s="79"/>
      <c r="B43" s="79"/>
      <c r="C43" s="80" t="s">
        <v>205</v>
      </c>
      <c r="D43" s="83">
        <f>TRUNC((SUM(D41:D42)),2)</f>
        <v>1825.1</v>
      </c>
      <c r="E43" s="45"/>
      <c r="F43" s="78"/>
      <c r="G43" s="78"/>
    </row>
    <row r="44" ht="15.15" spans="1:7">
      <c r="A44" s="70"/>
      <c r="B44" s="45"/>
      <c r="C44" s="84"/>
      <c r="D44" s="75"/>
      <c r="E44" s="45"/>
      <c r="F44" s="78"/>
      <c r="G44" s="78"/>
    </row>
    <row r="45" spans="1:7">
      <c r="A45" s="69" t="s">
        <v>77</v>
      </c>
      <c r="B45" s="69"/>
      <c r="C45" s="69"/>
      <c r="D45" s="69"/>
      <c r="E45" s="45"/>
      <c r="F45" s="45"/>
      <c r="G45" s="45"/>
    </row>
    <row r="46" spans="1:7">
      <c r="A46" s="70" t="s">
        <v>78</v>
      </c>
      <c r="B46" s="45" t="s">
        <v>79</v>
      </c>
      <c r="C46" s="70" t="s">
        <v>38</v>
      </c>
      <c r="D46" s="70" t="s">
        <v>80</v>
      </c>
      <c r="E46" s="45"/>
      <c r="F46" s="45"/>
      <c r="G46" s="45"/>
    </row>
    <row r="47" spans="1:7">
      <c r="A47" s="70" t="s">
        <v>42</v>
      </c>
      <c r="B47" s="45" t="s">
        <v>81</v>
      </c>
      <c r="C47" s="77">
        <v>0.2</v>
      </c>
      <c r="D47" s="75">
        <f>TRUNC(($D$43*C47),2)</f>
        <v>365.02</v>
      </c>
      <c r="E47" s="45"/>
      <c r="F47" s="45"/>
      <c r="G47" s="45"/>
    </row>
    <row r="48" spans="1:7">
      <c r="A48" s="70" t="s">
        <v>45</v>
      </c>
      <c r="B48" s="45" t="s">
        <v>82</v>
      </c>
      <c r="C48" s="77">
        <v>0.025</v>
      </c>
      <c r="D48" s="75">
        <f>TRUNC(($D$43*C48),2)</f>
        <v>45.62</v>
      </c>
      <c r="E48" s="45"/>
      <c r="F48" s="45"/>
      <c r="G48" s="45"/>
    </row>
    <row r="49" spans="1:7">
      <c r="A49" s="70" t="s">
        <v>48</v>
      </c>
      <c r="B49" s="45" t="s">
        <v>206</v>
      </c>
      <c r="C49" s="85">
        <v>0.06</v>
      </c>
      <c r="D49" s="72">
        <f>TRUNC(($D$43*C49),2)</f>
        <v>109.5</v>
      </c>
      <c r="E49" s="45"/>
      <c r="F49" s="45"/>
      <c r="G49" s="45"/>
    </row>
    <row r="50" spans="1:7">
      <c r="A50" s="70" t="s">
        <v>50</v>
      </c>
      <c r="B50" s="45" t="s">
        <v>84</v>
      </c>
      <c r="C50" s="77">
        <v>0.015</v>
      </c>
      <c r="D50" s="75">
        <f t="shared" ref="D47:D54" si="0">TRUNC(($D$43*C50),2)</f>
        <v>27.37</v>
      </c>
      <c r="E50" s="45"/>
      <c r="F50" s="45"/>
      <c r="G50" s="45"/>
    </row>
    <row r="51" spans="1:7">
      <c r="A51" s="70" t="s">
        <v>53</v>
      </c>
      <c r="B51" s="45" t="s">
        <v>85</v>
      </c>
      <c r="C51" s="77">
        <v>0.01</v>
      </c>
      <c r="D51" s="75">
        <f t="shared" si="0"/>
        <v>18.25</v>
      </c>
      <c r="E51" s="45"/>
      <c r="F51" s="45"/>
      <c r="G51" s="45"/>
    </row>
    <row r="52" spans="1:7">
      <c r="A52" s="70" t="s">
        <v>55</v>
      </c>
      <c r="B52" s="45" t="s">
        <v>86</v>
      </c>
      <c r="C52" s="77">
        <v>0.006</v>
      </c>
      <c r="D52" s="75">
        <f t="shared" si="0"/>
        <v>10.95</v>
      </c>
      <c r="E52" s="45"/>
      <c r="F52" s="45"/>
      <c r="G52" s="45"/>
    </row>
    <row r="53" spans="1:7">
      <c r="A53" s="70" t="s">
        <v>87</v>
      </c>
      <c r="B53" s="45" t="s">
        <v>88</v>
      </c>
      <c r="C53" s="77">
        <v>0.002</v>
      </c>
      <c r="D53" s="75">
        <f t="shared" si="0"/>
        <v>3.65</v>
      </c>
      <c r="E53" s="45"/>
      <c r="F53" s="45"/>
      <c r="G53" s="45"/>
    </row>
    <row r="54" spans="1:7">
      <c r="A54" s="70" t="s">
        <v>89</v>
      </c>
      <c r="B54" s="45" t="s">
        <v>90</v>
      </c>
      <c r="C54" s="77">
        <v>0.08</v>
      </c>
      <c r="D54" s="75">
        <f t="shared" si="0"/>
        <v>146</v>
      </c>
      <c r="E54" s="45"/>
      <c r="F54" s="45"/>
      <c r="G54" s="45"/>
    </row>
    <row r="55" spans="1:7">
      <c r="A55" s="70" t="s">
        <v>58</v>
      </c>
      <c r="B55" s="45"/>
      <c r="C55" s="84">
        <f>SUM(C47:C54)</f>
        <v>0.398</v>
      </c>
      <c r="D55" s="75">
        <f>TRUNC((SUM(D47:D54)),2)</f>
        <v>726.36</v>
      </c>
      <c r="E55" s="45"/>
      <c r="F55" s="45"/>
      <c r="G55" s="45"/>
    </row>
    <row r="56" spans="1:7">
      <c r="A56" s="70"/>
      <c r="B56" s="45"/>
      <c r="C56" s="84"/>
      <c r="D56" s="75"/>
      <c r="E56" s="45"/>
      <c r="F56" s="45"/>
      <c r="G56" s="45"/>
    </row>
    <row r="57" spans="1:7">
      <c r="A57" s="69" t="s">
        <v>95</v>
      </c>
      <c r="B57" s="69"/>
      <c r="C57" s="69"/>
      <c r="D57" s="69"/>
      <c r="E57" s="45"/>
      <c r="F57" s="45"/>
      <c r="G57" s="45"/>
    </row>
    <row r="58" spans="1:7">
      <c r="A58" s="70" t="s">
        <v>96</v>
      </c>
      <c r="B58" s="45" t="s">
        <v>97</v>
      </c>
      <c r="C58" s="70" t="s">
        <v>18</v>
      </c>
      <c r="D58" s="70" t="s">
        <v>19</v>
      </c>
      <c r="E58" s="45"/>
      <c r="F58" s="45"/>
      <c r="G58" s="45"/>
    </row>
    <row r="59" spans="1:7">
      <c r="A59" s="70" t="s">
        <v>42</v>
      </c>
      <c r="B59" s="45" t="s">
        <v>98</v>
      </c>
      <c r="C59" s="71"/>
      <c r="D59" s="72">
        <f>TRUNC(((22*3.9)*2)-((D25/100)*6),2)</f>
        <v>79.92</v>
      </c>
      <c r="E59" s="45"/>
      <c r="F59" s="45"/>
      <c r="G59" s="45"/>
    </row>
    <row r="60" spans="1:7">
      <c r="A60" s="70" t="s">
        <v>45</v>
      </c>
      <c r="B60" s="45" t="s">
        <v>99</v>
      </c>
      <c r="C60" s="71" t="str">
        <f>C9</f>
        <v>CCT PB 000047/2021</v>
      </c>
      <c r="D60" s="72">
        <f>TRUNC((((22*18))-(((22*18))*0.2)),2)</f>
        <v>316.8</v>
      </c>
      <c r="E60" s="45"/>
      <c r="F60" s="45"/>
      <c r="G60" s="45"/>
    </row>
    <row r="61" spans="1:7">
      <c r="A61" s="70" t="s">
        <v>48</v>
      </c>
      <c r="B61" s="45" t="s">
        <v>100</v>
      </c>
      <c r="C61" s="71"/>
      <c r="D61" s="72">
        <v>0</v>
      </c>
      <c r="E61" s="45"/>
      <c r="F61" s="45"/>
      <c r="G61" s="45"/>
    </row>
    <row r="62" spans="1:7">
      <c r="A62" s="86" t="s">
        <v>50</v>
      </c>
      <c r="B62" s="87" t="s">
        <v>207</v>
      </c>
      <c r="C62" s="88"/>
      <c r="D62" s="88">
        <v>0</v>
      </c>
      <c r="E62" s="45"/>
      <c r="F62" s="87"/>
      <c r="G62" s="45"/>
    </row>
    <row r="63" spans="1:7">
      <c r="A63" s="70" t="s">
        <v>53</v>
      </c>
      <c r="B63" s="45" t="s">
        <v>208</v>
      </c>
      <c r="C63" s="71" t="str">
        <f>C9</f>
        <v>CCT PB 000047/2021</v>
      </c>
      <c r="D63" s="89">
        <v>15</v>
      </c>
      <c r="E63" s="45"/>
      <c r="F63" s="45"/>
      <c r="G63" s="45"/>
    </row>
    <row r="64" spans="1:7">
      <c r="A64" s="70" t="s">
        <v>55</v>
      </c>
      <c r="B64" s="90" t="s">
        <v>209</v>
      </c>
      <c r="C64" s="88" t="str">
        <f>C9</f>
        <v>CCT PB 000047/2021</v>
      </c>
      <c r="D64" s="89">
        <v>5</v>
      </c>
      <c r="E64" s="45"/>
      <c r="F64" s="45"/>
      <c r="G64" s="45"/>
    </row>
    <row r="65" spans="1:7">
      <c r="A65" s="70" t="s">
        <v>58</v>
      </c>
      <c r="B65" s="45"/>
      <c r="C65" s="45"/>
      <c r="D65" s="75">
        <f>TRUNC((SUM(D59:D64)),2)</f>
        <v>416.72</v>
      </c>
      <c r="E65" s="45"/>
      <c r="F65" s="45"/>
      <c r="G65" s="45"/>
    </row>
    <row r="66" spans="1:7">
      <c r="A66" s="70"/>
      <c r="B66" s="45"/>
      <c r="C66" s="45"/>
      <c r="D66" s="75"/>
      <c r="E66" s="45"/>
      <c r="F66" s="45"/>
      <c r="G66" s="45"/>
    </row>
    <row r="67" spans="1:7">
      <c r="A67" s="69" t="s">
        <v>105</v>
      </c>
      <c r="B67" s="69"/>
      <c r="C67" s="69"/>
      <c r="D67" s="69"/>
      <c r="E67" s="45"/>
      <c r="F67" s="45"/>
      <c r="G67" s="45"/>
    </row>
    <row r="68" spans="1:7">
      <c r="A68" s="70" t="s">
        <v>106</v>
      </c>
      <c r="B68" s="45" t="s">
        <v>107</v>
      </c>
      <c r="C68" s="70" t="s">
        <v>18</v>
      </c>
      <c r="D68" s="70" t="s">
        <v>19</v>
      </c>
      <c r="E68" s="45"/>
      <c r="F68" s="45"/>
      <c r="G68" s="45"/>
    </row>
    <row r="69" spans="1:7">
      <c r="A69" s="70" t="s">
        <v>65</v>
      </c>
      <c r="B69" s="45" t="s">
        <v>66</v>
      </c>
      <c r="C69" s="70"/>
      <c r="D69" s="75">
        <f>D39</f>
        <v>297.1</v>
      </c>
      <c r="E69" s="45"/>
      <c r="F69" s="45"/>
      <c r="G69" s="45"/>
    </row>
    <row r="70" spans="1:7">
      <c r="A70" s="70" t="s">
        <v>78</v>
      </c>
      <c r="B70" s="45" t="s">
        <v>79</v>
      </c>
      <c r="C70" s="70"/>
      <c r="D70" s="75">
        <f>D55</f>
        <v>726.36</v>
      </c>
      <c r="E70" s="45"/>
      <c r="F70" s="45"/>
      <c r="G70" s="45"/>
    </row>
    <row r="71" spans="1:7">
      <c r="A71" s="70" t="s">
        <v>96</v>
      </c>
      <c r="B71" s="45" t="s">
        <v>97</v>
      </c>
      <c r="C71" s="70"/>
      <c r="D71" s="75">
        <f>D65</f>
        <v>416.72</v>
      </c>
      <c r="E71" s="45"/>
      <c r="F71" s="45"/>
      <c r="G71" s="45"/>
    </row>
    <row r="72" spans="1:7">
      <c r="A72" s="70" t="s">
        <v>58</v>
      </c>
      <c r="B72" s="45"/>
      <c r="C72" s="70"/>
      <c r="D72" s="75">
        <f>TRUNC(SUM(D69:D71),2)</f>
        <v>1440.18</v>
      </c>
      <c r="E72" s="45"/>
      <c r="F72" s="45"/>
      <c r="G72" s="45"/>
    </row>
    <row r="73" spans="1:7">
      <c r="A73" s="45"/>
      <c r="B73" s="45"/>
      <c r="C73" s="45"/>
      <c r="D73" s="45"/>
      <c r="E73" s="45"/>
      <c r="F73" s="45"/>
      <c r="G73" s="45"/>
    </row>
    <row r="74" spans="1:7">
      <c r="A74" s="53" t="s">
        <v>108</v>
      </c>
      <c r="B74" s="53"/>
      <c r="C74" s="53"/>
      <c r="D74" s="53"/>
      <c r="E74" s="45"/>
      <c r="F74" s="45"/>
      <c r="G74" s="45"/>
    </row>
    <row r="75" spans="1:7">
      <c r="A75" s="70" t="s">
        <v>109</v>
      </c>
      <c r="B75" s="45" t="s">
        <v>110</v>
      </c>
      <c r="C75" s="70" t="s">
        <v>38</v>
      </c>
      <c r="D75" s="70" t="s">
        <v>19</v>
      </c>
      <c r="E75" s="45"/>
      <c r="F75" s="45"/>
      <c r="G75" s="45"/>
    </row>
    <row r="76" spans="1:7">
      <c r="A76" s="70" t="s">
        <v>42</v>
      </c>
      <c r="B76" s="45" t="s">
        <v>111</v>
      </c>
      <c r="C76" s="85">
        <f>((1/12)*5%)</f>
        <v>0.00416666666666667</v>
      </c>
      <c r="D76" s="72">
        <f t="shared" ref="D76:D79" si="1">TRUNC(($D$31*C76),2)</f>
        <v>6.36</v>
      </c>
      <c r="E76" s="45"/>
      <c r="F76" s="45"/>
      <c r="G76" s="45"/>
    </row>
    <row r="77" spans="1:7">
      <c r="A77" s="70" t="s">
        <v>45</v>
      </c>
      <c r="B77" s="45" t="s">
        <v>112</v>
      </c>
      <c r="C77" s="91">
        <v>0.08</v>
      </c>
      <c r="D77" s="75">
        <f>TRUNC(($D$76*C77),2)</f>
        <v>0.5</v>
      </c>
      <c r="E77" s="45"/>
      <c r="F77" s="45"/>
      <c r="G77" s="45"/>
    </row>
    <row r="78" spans="1:7">
      <c r="A78" s="70" t="s">
        <v>48</v>
      </c>
      <c r="B78" s="92" t="s">
        <v>113</v>
      </c>
      <c r="C78" s="93">
        <f>(0.08*0.4*0.05)</f>
        <v>0.0016</v>
      </c>
      <c r="D78" s="88">
        <f t="shared" si="1"/>
        <v>2.44</v>
      </c>
      <c r="E78" s="45"/>
      <c r="F78" s="45"/>
      <c r="G78" s="45"/>
    </row>
    <row r="79" spans="1:7">
      <c r="A79" s="70" t="s">
        <v>50</v>
      </c>
      <c r="B79" s="45" t="s">
        <v>114</v>
      </c>
      <c r="C79" s="94">
        <f>(((7/30)/12)*0.95)</f>
        <v>0.0184722222222222</v>
      </c>
      <c r="D79" s="95">
        <f t="shared" si="1"/>
        <v>28.22</v>
      </c>
      <c r="E79" s="45"/>
      <c r="F79" s="45"/>
      <c r="G79" s="45"/>
    </row>
    <row r="80" spans="1:7">
      <c r="A80" s="70" t="s">
        <v>53</v>
      </c>
      <c r="B80" s="92" t="s">
        <v>210</v>
      </c>
      <c r="C80" s="93">
        <f>C55</f>
        <v>0.398</v>
      </c>
      <c r="D80" s="88">
        <f>TRUNC(($D$79*C80),2)</f>
        <v>11.23</v>
      </c>
      <c r="E80" s="45"/>
      <c r="F80" s="45"/>
      <c r="G80" s="45"/>
    </row>
    <row r="81" spans="1:7">
      <c r="A81" s="70" t="s">
        <v>55</v>
      </c>
      <c r="B81" s="92" t="s">
        <v>115</v>
      </c>
      <c r="C81" s="93">
        <f>(0.08*0.4*0.95)</f>
        <v>0.0304</v>
      </c>
      <c r="D81" s="88">
        <f>TRUNC(($D$31*C81),2)</f>
        <v>46.45</v>
      </c>
      <c r="E81" s="45"/>
      <c r="F81" s="45"/>
      <c r="G81" s="45"/>
    </row>
    <row r="82" spans="1:7">
      <c r="A82" s="70" t="s">
        <v>58</v>
      </c>
      <c r="B82" s="45"/>
      <c r="C82" s="91">
        <f>SUM(C76:C81)</f>
        <v>0.532638888888889</v>
      </c>
      <c r="D82" s="75">
        <f>TRUNC((SUM(D76:D81)),2)</f>
        <v>95.2</v>
      </c>
      <c r="E82" s="45"/>
      <c r="F82" s="45"/>
      <c r="G82" s="45"/>
    </row>
    <row r="83" ht="15.15" spans="1:7">
      <c r="A83" s="70"/>
      <c r="B83" s="45"/>
      <c r="C83" s="45"/>
      <c r="D83" s="75"/>
      <c r="E83" s="45"/>
      <c r="F83" s="45"/>
      <c r="G83" s="45"/>
    </row>
    <row r="84" ht="15.9" spans="1:7">
      <c r="A84" s="79" t="s">
        <v>211</v>
      </c>
      <c r="B84" s="79"/>
      <c r="C84" s="80" t="s">
        <v>203</v>
      </c>
      <c r="D84" s="81">
        <f>D31</f>
        <v>1528</v>
      </c>
      <c r="E84" s="45"/>
      <c r="F84" s="45"/>
      <c r="G84" s="45"/>
    </row>
    <row r="85" ht="15.9" spans="1:7">
      <c r="A85" s="79"/>
      <c r="B85" s="79"/>
      <c r="C85" s="82" t="s">
        <v>212</v>
      </c>
      <c r="D85" s="81">
        <f>D72</f>
        <v>1440.18</v>
      </c>
      <c r="E85" s="45"/>
      <c r="F85" s="45"/>
      <c r="G85" s="45"/>
    </row>
    <row r="86" ht="15.9" spans="1:7">
      <c r="A86" s="79"/>
      <c r="B86" s="79"/>
      <c r="C86" s="80" t="s">
        <v>213</v>
      </c>
      <c r="D86" s="81">
        <f>D82</f>
        <v>95.2</v>
      </c>
      <c r="E86" s="45"/>
      <c r="F86" s="45"/>
      <c r="G86" s="45"/>
    </row>
    <row r="87" ht="15.9" spans="1:7">
      <c r="A87" s="79"/>
      <c r="B87" s="79"/>
      <c r="C87" s="82" t="s">
        <v>205</v>
      </c>
      <c r="D87" s="83">
        <f>TRUNC((SUM(D84:D86)),2)</f>
        <v>3063.38</v>
      </c>
      <c r="E87" s="45"/>
      <c r="F87" s="45"/>
      <c r="G87" s="45"/>
    </row>
    <row r="88" ht="15.15" spans="1:7">
      <c r="A88" s="70"/>
      <c r="B88" s="45"/>
      <c r="C88" s="45"/>
      <c r="D88" s="75"/>
      <c r="E88" s="45"/>
      <c r="F88" s="45"/>
      <c r="G88" s="45"/>
    </row>
    <row r="89" spans="1:7">
      <c r="A89" s="96" t="s">
        <v>127</v>
      </c>
      <c r="B89" s="96"/>
      <c r="C89" s="96"/>
      <c r="D89" s="96"/>
      <c r="E89" s="45"/>
      <c r="F89" s="45"/>
      <c r="G89" s="45"/>
    </row>
    <row r="90" spans="1:7">
      <c r="A90" s="69" t="s">
        <v>128</v>
      </c>
      <c r="B90" s="69"/>
      <c r="C90" s="69"/>
      <c r="D90" s="69"/>
      <c r="E90" s="45"/>
      <c r="F90" s="45"/>
      <c r="G90" s="45"/>
    </row>
    <row r="91" spans="1:7">
      <c r="A91" s="70" t="s">
        <v>129</v>
      </c>
      <c r="B91" s="45" t="s">
        <v>130</v>
      </c>
      <c r="C91" s="70" t="s">
        <v>38</v>
      </c>
      <c r="D91" s="70" t="s">
        <v>19</v>
      </c>
      <c r="E91" s="45"/>
      <c r="F91" s="45"/>
      <c r="G91" s="45"/>
    </row>
    <row r="92" spans="1:7">
      <c r="A92" s="70" t="s">
        <v>42</v>
      </c>
      <c r="B92" s="45" t="s">
        <v>214</v>
      </c>
      <c r="C92" s="91">
        <f>(((1+1/3)/12)/12)+((1/12)/12)</f>
        <v>0.0162037037037037</v>
      </c>
      <c r="D92" s="75">
        <f t="shared" ref="D92:D96" si="2">TRUNC(($D$87*C92),2)</f>
        <v>49.63</v>
      </c>
      <c r="E92" s="45"/>
      <c r="F92" s="45"/>
      <c r="G92" s="45"/>
    </row>
    <row r="93" spans="1:7">
      <c r="A93" s="70" t="s">
        <v>45</v>
      </c>
      <c r="B93" s="45" t="s">
        <v>133</v>
      </c>
      <c r="C93" s="85">
        <f>((2/30)/12)</f>
        <v>0.00555555555555556</v>
      </c>
      <c r="D93" s="88">
        <f t="shared" si="2"/>
        <v>17.01</v>
      </c>
      <c r="E93" s="45"/>
      <c r="F93" s="45"/>
      <c r="G93" s="45"/>
    </row>
    <row r="94" spans="1:7">
      <c r="A94" s="70" t="s">
        <v>48</v>
      </c>
      <c r="B94" s="45" t="s">
        <v>134</v>
      </c>
      <c r="C94" s="85">
        <f>((5/30)/12)*0.02</f>
        <v>0.000277777777777778</v>
      </c>
      <c r="D94" s="88">
        <f t="shared" si="2"/>
        <v>0.85</v>
      </c>
      <c r="E94" s="45"/>
      <c r="F94" s="45"/>
      <c r="G94" s="45"/>
    </row>
    <row r="95" spans="1:7">
      <c r="A95" s="86" t="s">
        <v>50</v>
      </c>
      <c r="B95" s="92" t="s">
        <v>135</v>
      </c>
      <c r="C95" s="93">
        <f>((15/30)/12)*0.08</f>
        <v>0.00333333333333333</v>
      </c>
      <c r="D95" s="88">
        <f t="shared" si="2"/>
        <v>10.21</v>
      </c>
      <c r="E95" s="45"/>
      <c r="F95" s="45"/>
      <c r="G95" s="45"/>
    </row>
    <row r="96" spans="1:7">
      <c r="A96" s="70" t="s">
        <v>53</v>
      </c>
      <c r="B96" s="45" t="s">
        <v>136</v>
      </c>
      <c r="C96" s="85">
        <f>((1+1/3)/12)*0.03*((4/12))</f>
        <v>0.00111111111111111</v>
      </c>
      <c r="D96" s="88">
        <f t="shared" si="2"/>
        <v>3.4</v>
      </c>
      <c r="E96" s="45"/>
      <c r="F96" s="45"/>
      <c r="G96" s="45"/>
    </row>
    <row r="97" spans="1:7">
      <c r="A97" s="70" t="s">
        <v>55</v>
      </c>
      <c r="B97" s="92" t="s">
        <v>215</v>
      </c>
      <c r="C97" s="97">
        <v>0</v>
      </c>
      <c r="D97" s="88">
        <f>TRUNC($D$87*C97)</f>
        <v>0</v>
      </c>
      <c r="E97" s="45"/>
      <c r="F97" s="45"/>
      <c r="G97" s="45"/>
    </row>
    <row r="98" spans="1:7">
      <c r="A98" s="70" t="s">
        <v>58</v>
      </c>
      <c r="B98" s="45"/>
      <c r="C98" s="91">
        <f>SUM(C92:C97)</f>
        <v>0.0264814814814815</v>
      </c>
      <c r="D98" s="75">
        <f>TRUNC((SUM(D92:D97)),2)</f>
        <v>81.1</v>
      </c>
      <c r="E98" s="45"/>
      <c r="F98" s="45"/>
      <c r="G98" s="45"/>
    </row>
    <row r="99" spans="1:7">
      <c r="A99" s="70"/>
      <c r="B99" s="45"/>
      <c r="C99" s="70"/>
      <c r="D99" s="75"/>
      <c r="E99" s="45"/>
      <c r="F99" s="45"/>
      <c r="G99" s="45"/>
    </row>
    <row r="100" spans="1:7">
      <c r="A100" s="69" t="s">
        <v>144</v>
      </c>
      <c r="B100" s="69"/>
      <c r="C100" s="69"/>
      <c r="D100" s="69"/>
      <c r="E100" s="45"/>
      <c r="F100" s="45"/>
      <c r="G100" s="45"/>
    </row>
    <row r="101" spans="1:7">
      <c r="A101" s="70" t="s">
        <v>145</v>
      </c>
      <c r="B101" s="45" t="s">
        <v>146</v>
      </c>
      <c r="C101" s="70" t="s">
        <v>18</v>
      </c>
      <c r="D101" s="70" t="s">
        <v>19</v>
      </c>
      <c r="E101" s="45"/>
      <c r="F101" s="45"/>
      <c r="G101" s="45"/>
    </row>
    <row r="102" ht="86.4" spans="1:7">
      <c r="A102" s="86" t="s">
        <v>42</v>
      </c>
      <c r="B102" s="98" t="s">
        <v>147</v>
      </c>
      <c r="C102" s="99" t="s">
        <v>216</v>
      </c>
      <c r="D102" s="100" t="s">
        <v>217</v>
      </c>
      <c r="E102" s="45"/>
      <c r="F102" s="45"/>
      <c r="G102" s="45"/>
    </row>
    <row r="103" spans="1:7">
      <c r="A103" s="70" t="s">
        <v>58</v>
      </c>
      <c r="B103" s="45"/>
      <c r="C103" s="70"/>
      <c r="D103" s="101" t="str">
        <f>D102</f>
        <v>*=TRUNCAR(($D$86/220)*(1*(365/12))/2)</v>
      </c>
      <c r="E103" s="45"/>
      <c r="F103" s="45"/>
      <c r="G103" s="45"/>
    </row>
    <row r="104" spans="1:7">
      <c r="A104" s="45"/>
      <c r="B104" s="45"/>
      <c r="C104" s="45"/>
      <c r="D104" s="45"/>
      <c r="E104" s="45"/>
      <c r="F104" s="45"/>
      <c r="G104" s="45"/>
    </row>
    <row r="105" spans="1:7">
      <c r="A105" s="69" t="s">
        <v>148</v>
      </c>
      <c r="B105" s="69"/>
      <c r="C105" s="69"/>
      <c r="D105" s="69"/>
      <c r="E105" s="45"/>
      <c r="F105" s="45"/>
      <c r="G105" s="45"/>
    </row>
    <row r="106" spans="1:7">
      <c r="A106" s="70" t="s">
        <v>149</v>
      </c>
      <c r="B106" s="45" t="s">
        <v>150</v>
      </c>
      <c r="C106" s="70" t="s">
        <v>18</v>
      </c>
      <c r="D106" s="70" t="s">
        <v>19</v>
      </c>
      <c r="E106" s="45"/>
      <c r="F106" s="45"/>
      <c r="G106" s="45"/>
    </row>
    <row r="107" spans="1:7">
      <c r="A107" s="70" t="s">
        <v>129</v>
      </c>
      <c r="B107" s="45" t="s">
        <v>130</v>
      </c>
      <c r="C107" s="45"/>
      <c r="D107" s="72">
        <f>D98</f>
        <v>81.1</v>
      </c>
      <c r="E107" s="45"/>
      <c r="F107" s="45"/>
      <c r="G107" s="45"/>
    </row>
    <row r="108" spans="1:7">
      <c r="A108" s="70" t="s">
        <v>145</v>
      </c>
      <c r="B108" s="45" t="s">
        <v>151</v>
      </c>
      <c r="C108" s="45"/>
      <c r="D108" s="102" t="str">
        <f>Submódulo4.260_8120102[[#Totals],[Valor]]</f>
        <v>*=TRUNCAR(($D$86/220)*(1*(365/12))/2)</v>
      </c>
      <c r="E108" s="45"/>
      <c r="F108" s="45"/>
      <c r="G108" s="45"/>
    </row>
    <row r="109" ht="43.2" spans="1:7">
      <c r="A109" s="86" t="s">
        <v>58</v>
      </c>
      <c r="B109" s="87"/>
      <c r="C109" s="99" t="s">
        <v>218</v>
      </c>
      <c r="D109" s="103">
        <f>TRUNC((SUM(D107:D108)),2)</f>
        <v>81.1</v>
      </c>
      <c r="E109" s="45"/>
      <c r="F109" s="45"/>
      <c r="G109" s="45"/>
    </row>
    <row r="110" spans="1:7">
      <c r="A110" s="45"/>
      <c r="B110" s="45"/>
      <c r="C110" s="45"/>
      <c r="D110" s="45"/>
      <c r="E110" s="45"/>
      <c r="F110" s="45"/>
      <c r="G110" s="45"/>
    </row>
    <row r="111" spans="1:7">
      <c r="A111" s="53" t="s">
        <v>152</v>
      </c>
      <c r="B111" s="53"/>
      <c r="C111" s="53"/>
      <c r="D111" s="53"/>
      <c r="E111" s="45"/>
      <c r="F111" s="45"/>
      <c r="G111" s="45"/>
    </row>
    <row r="112" spans="1:7">
      <c r="A112" s="70" t="s">
        <v>153</v>
      </c>
      <c r="B112" s="45" t="s">
        <v>154</v>
      </c>
      <c r="C112" s="70" t="s">
        <v>18</v>
      </c>
      <c r="D112" s="70" t="s">
        <v>19</v>
      </c>
      <c r="E112" s="45"/>
      <c r="F112" s="45"/>
      <c r="G112" s="45"/>
    </row>
    <row r="113" spans="1:7">
      <c r="A113" s="70" t="s">
        <v>42</v>
      </c>
      <c r="B113" s="45" t="s">
        <v>219</v>
      </c>
      <c r="C113" s="45"/>
      <c r="D113" s="72">
        <f>Uniformes!G43</f>
        <v>97.57</v>
      </c>
      <c r="E113" s="45"/>
      <c r="F113" s="45"/>
      <c r="G113" s="45"/>
    </row>
    <row r="114" spans="1:7">
      <c r="A114" s="70" t="s">
        <v>45</v>
      </c>
      <c r="B114" s="45" t="s">
        <v>220</v>
      </c>
      <c r="C114" s="45"/>
      <c r="D114" s="72">
        <f>EPC!E21</f>
        <v>71.81</v>
      </c>
      <c r="E114" s="45"/>
      <c r="F114" s="45"/>
      <c r="G114" s="45"/>
    </row>
    <row r="115" spans="1:7">
      <c r="A115" s="70" t="s">
        <v>48</v>
      </c>
      <c r="B115" s="45" t="s">
        <v>156</v>
      </c>
      <c r="C115" s="45"/>
      <c r="D115" s="72">
        <v>0</v>
      </c>
      <c r="E115" s="45"/>
      <c r="F115" s="45"/>
      <c r="G115" s="45"/>
    </row>
    <row r="116" spans="1:7">
      <c r="A116" s="70" t="s">
        <v>50</v>
      </c>
      <c r="B116" s="45" t="s">
        <v>157</v>
      </c>
      <c r="C116" s="45"/>
      <c r="D116" s="72">
        <v>0</v>
      </c>
      <c r="E116" s="45"/>
      <c r="F116" s="45"/>
      <c r="G116" s="45"/>
    </row>
    <row r="117" spans="1:7">
      <c r="A117" s="70" t="s">
        <v>53</v>
      </c>
      <c r="B117" s="45" t="s">
        <v>56</v>
      </c>
      <c r="C117" s="45"/>
      <c r="D117" s="72">
        <f>H116</f>
        <v>0</v>
      </c>
      <c r="E117" s="45"/>
      <c r="F117" s="45"/>
      <c r="G117" s="45"/>
    </row>
    <row r="118" spans="1:7">
      <c r="A118" s="70" t="s">
        <v>58</v>
      </c>
      <c r="B118" s="45"/>
      <c r="C118" s="45"/>
      <c r="D118" s="75">
        <f>TRUNC(SUM((D113:D117)),2)</f>
        <v>169.38</v>
      </c>
      <c r="E118" s="45"/>
      <c r="F118" s="45"/>
      <c r="G118" s="45"/>
    </row>
    <row r="119" ht="15.15" spans="1:7">
      <c r="A119" s="45"/>
      <c r="B119" s="45"/>
      <c r="C119" s="45"/>
      <c r="D119" s="45"/>
      <c r="E119" s="45"/>
      <c r="F119" s="45"/>
      <c r="G119" s="45"/>
    </row>
    <row r="120" ht="15.9" spans="1:7">
      <c r="A120" s="79" t="s">
        <v>221</v>
      </c>
      <c r="B120" s="79"/>
      <c r="C120" s="80" t="s">
        <v>203</v>
      </c>
      <c r="D120" s="81">
        <f>D31</f>
        <v>1528</v>
      </c>
      <c r="E120" s="45"/>
      <c r="F120" s="45"/>
      <c r="G120" s="45"/>
    </row>
    <row r="121" ht="15.9" spans="1:7">
      <c r="A121" s="79"/>
      <c r="B121" s="79"/>
      <c r="C121" s="82" t="s">
        <v>212</v>
      </c>
      <c r="D121" s="81">
        <f>D72</f>
        <v>1440.18</v>
      </c>
      <c r="E121" s="45"/>
      <c r="F121" s="45"/>
      <c r="G121" s="45"/>
    </row>
    <row r="122" ht="15.9" spans="1:7">
      <c r="A122" s="79"/>
      <c r="B122" s="79"/>
      <c r="C122" s="80" t="s">
        <v>213</v>
      </c>
      <c r="D122" s="81">
        <f>D82</f>
        <v>95.2</v>
      </c>
      <c r="E122" s="45"/>
      <c r="F122" s="45"/>
      <c r="G122" s="45"/>
    </row>
    <row r="123" ht="15.9" spans="1:7">
      <c r="A123" s="79"/>
      <c r="B123" s="79"/>
      <c r="C123" s="82" t="s">
        <v>222</v>
      </c>
      <c r="D123" s="81">
        <f>D109</f>
        <v>81.1</v>
      </c>
      <c r="E123" s="45"/>
      <c r="F123" s="45"/>
      <c r="G123" s="45"/>
    </row>
    <row r="124" ht="15.9" spans="1:7">
      <c r="A124" s="79"/>
      <c r="B124" s="79"/>
      <c r="C124" s="80" t="s">
        <v>223</v>
      </c>
      <c r="D124" s="81">
        <f>D118</f>
        <v>169.38</v>
      </c>
      <c r="E124" s="45"/>
      <c r="F124" s="45"/>
      <c r="G124" s="45"/>
    </row>
    <row r="125" ht="15.9" spans="1:7">
      <c r="A125" s="79"/>
      <c r="B125" s="79"/>
      <c r="C125" s="82" t="s">
        <v>205</v>
      </c>
      <c r="D125" s="83">
        <f>TRUNC((SUM(D120:D124)),2)</f>
        <v>3313.86</v>
      </c>
      <c r="E125" s="45"/>
      <c r="F125" s="45"/>
      <c r="G125" s="45"/>
    </row>
    <row r="126" ht="15.15" spans="1:7">
      <c r="A126" s="45"/>
      <c r="B126" s="45"/>
      <c r="C126" s="45"/>
      <c r="D126" s="45"/>
      <c r="E126" s="45"/>
      <c r="F126" s="45"/>
      <c r="G126" s="45"/>
    </row>
    <row r="127" spans="1:7">
      <c r="A127" s="53" t="s">
        <v>164</v>
      </c>
      <c r="B127" s="53"/>
      <c r="C127" s="53"/>
      <c r="D127" s="53"/>
      <c r="E127" s="45"/>
      <c r="F127" s="45"/>
      <c r="G127" s="45"/>
    </row>
    <row r="128" spans="1:7">
      <c r="A128" s="70" t="s">
        <v>165</v>
      </c>
      <c r="B128" s="45" t="s">
        <v>166</v>
      </c>
      <c r="C128" s="70" t="s">
        <v>38</v>
      </c>
      <c r="D128" s="70" t="s">
        <v>19</v>
      </c>
      <c r="E128" s="45"/>
      <c r="F128" s="104" t="s">
        <v>224</v>
      </c>
      <c r="G128" s="104"/>
    </row>
    <row r="129" ht="15.15" spans="1:7">
      <c r="A129" s="70" t="s">
        <v>42</v>
      </c>
      <c r="B129" s="45" t="s">
        <v>167</v>
      </c>
      <c r="C129" s="85">
        <v>0.044</v>
      </c>
      <c r="D129" s="72">
        <f>TRUNC(($D$125*C129),2)</f>
        <v>145.8</v>
      </c>
      <c r="E129" s="45"/>
      <c r="F129" s="105" t="s">
        <v>225</v>
      </c>
      <c r="G129" s="93">
        <f>C131</f>
        <v>0.0865</v>
      </c>
    </row>
    <row r="130" ht="15.15" spans="1:7">
      <c r="A130" s="70" t="s">
        <v>45</v>
      </c>
      <c r="B130" s="45" t="s">
        <v>59</v>
      </c>
      <c r="C130" s="85">
        <v>0.0413</v>
      </c>
      <c r="D130" s="72">
        <f>TRUNC((C130*(D125+D129)),2)</f>
        <v>142.88</v>
      </c>
      <c r="E130" s="45"/>
      <c r="F130" s="106" t="s">
        <v>226</v>
      </c>
      <c r="G130" s="107">
        <f>TRUNC(SUM(D125,D129,D130),2)</f>
        <v>3602.54</v>
      </c>
    </row>
    <row r="131" spans="1:7">
      <c r="A131" s="70" t="s">
        <v>48</v>
      </c>
      <c r="B131" s="45" t="s">
        <v>168</v>
      </c>
      <c r="C131" s="85">
        <f>SUM(C132:C134)</f>
        <v>0.0865</v>
      </c>
      <c r="D131" s="72">
        <f>TRUNC((SUM(D132:D134)),2)</f>
        <v>341.11</v>
      </c>
      <c r="E131" s="45"/>
      <c r="F131" s="105" t="s">
        <v>227</v>
      </c>
      <c r="G131" s="108">
        <f>(100-8.65)/100</f>
        <v>0.9135</v>
      </c>
    </row>
    <row r="132" ht="15.15" spans="1:7">
      <c r="A132" s="70"/>
      <c r="B132" s="45" t="s">
        <v>228</v>
      </c>
      <c r="C132" s="85">
        <v>0.0065</v>
      </c>
      <c r="D132" s="72">
        <f t="shared" ref="D132:D134" si="3">TRUNC(($G$132*C132),2)</f>
        <v>25.63</v>
      </c>
      <c r="E132" s="45"/>
      <c r="F132" s="106" t="s">
        <v>224</v>
      </c>
      <c r="G132" s="107">
        <f>TRUNC((G130/G131),2)</f>
        <v>3943.66</v>
      </c>
    </row>
    <row r="133" ht="15.15" spans="1:7">
      <c r="A133" s="70"/>
      <c r="B133" s="45" t="s">
        <v>229</v>
      </c>
      <c r="C133" s="85">
        <v>0.03</v>
      </c>
      <c r="D133" s="72">
        <f t="shared" si="3"/>
        <v>118.3</v>
      </c>
      <c r="E133" s="45"/>
      <c r="F133" s="45"/>
      <c r="G133" s="45"/>
    </row>
    <row r="134" spans="1:7">
      <c r="A134" s="70"/>
      <c r="B134" s="45" t="s">
        <v>230</v>
      </c>
      <c r="C134" s="85">
        <v>0.05</v>
      </c>
      <c r="D134" s="72">
        <f t="shared" si="3"/>
        <v>197.18</v>
      </c>
      <c r="E134" s="45"/>
      <c r="F134" s="45"/>
      <c r="G134" s="45"/>
    </row>
    <row r="135" spans="1:7">
      <c r="A135" s="70" t="s">
        <v>58</v>
      </c>
      <c r="B135" s="45"/>
      <c r="C135" s="70"/>
      <c r="D135" s="75">
        <f>TRUNC(SUM(D129:D131),2)</f>
        <v>629.79</v>
      </c>
      <c r="E135" s="45"/>
      <c r="F135" s="45"/>
      <c r="G135" s="45"/>
    </row>
    <row r="136" spans="1:7">
      <c r="A136" s="70"/>
      <c r="B136" s="45"/>
      <c r="C136" s="70"/>
      <c r="D136" s="75"/>
      <c r="E136" s="45"/>
      <c r="F136" s="45"/>
      <c r="G136" s="45"/>
    </row>
    <row r="137" spans="1:7">
      <c r="A137" s="45"/>
      <c r="B137" s="45"/>
      <c r="C137" s="45"/>
      <c r="D137" s="45"/>
      <c r="E137" s="45"/>
      <c r="F137" s="45"/>
      <c r="G137" s="45"/>
    </row>
    <row r="138" spans="1:7">
      <c r="A138" s="53" t="s">
        <v>172</v>
      </c>
      <c r="B138" s="53"/>
      <c r="C138" s="53"/>
      <c r="D138" s="53"/>
      <c r="E138" s="45"/>
      <c r="F138" s="45"/>
      <c r="G138" s="45"/>
    </row>
    <row r="139" spans="1:7">
      <c r="A139" s="70" t="s">
        <v>16</v>
      </c>
      <c r="B139" s="70" t="s">
        <v>173</v>
      </c>
      <c r="C139" s="70" t="s">
        <v>102</v>
      </c>
      <c r="D139" s="70" t="s">
        <v>19</v>
      </c>
      <c r="E139" s="45"/>
      <c r="F139" s="45"/>
      <c r="G139" s="45"/>
    </row>
    <row r="140" spans="1:7">
      <c r="A140" s="70" t="s">
        <v>42</v>
      </c>
      <c r="B140" s="45" t="s">
        <v>36</v>
      </c>
      <c r="C140" s="45"/>
      <c r="D140" s="75">
        <f>D31</f>
        <v>1528</v>
      </c>
      <c r="E140" s="45"/>
      <c r="F140" s="45"/>
      <c r="G140" s="45"/>
    </row>
    <row r="141" spans="1:7">
      <c r="A141" s="70" t="s">
        <v>45</v>
      </c>
      <c r="B141" s="45" t="s">
        <v>61</v>
      </c>
      <c r="C141" s="45"/>
      <c r="D141" s="75">
        <f>D72</f>
        <v>1440.18</v>
      </c>
      <c r="E141" s="45"/>
      <c r="F141" s="45"/>
      <c r="G141" s="45"/>
    </row>
    <row r="142" spans="1:7">
      <c r="A142" s="70" t="s">
        <v>48</v>
      </c>
      <c r="B142" s="45" t="s">
        <v>108</v>
      </c>
      <c r="C142" s="45"/>
      <c r="D142" s="75">
        <f>D82</f>
        <v>95.2</v>
      </c>
      <c r="E142" s="45"/>
      <c r="F142" s="45"/>
      <c r="G142" s="45"/>
    </row>
    <row r="143" spans="1:7">
      <c r="A143" s="70" t="s">
        <v>50</v>
      </c>
      <c r="B143" s="45" t="s">
        <v>174</v>
      </c>
      <c r="C143" s="45"/>
      <c r="D143" s="75">
        <f>D109</f>
        <v>81.1</v>
      </c>
      <c r="E143" s="45"/>
      <c r="F143" s="45"/>
      <c r="G143" s="45"/>
    </row>
    <row r="144" spans="1:7">
      <c r="A144" s="70" t="s">
        <v>53</v>
      </c>
      <c r="B144" s="45" t="s">
        <v>152</v>
      </c>
      <c r="C144" s="45"/>
      <c r="D144" s="75">
        <f>D118</f>
        <v>169.38</v>
      </c>
      <c r="E144" s="45"/>
      <c r="F144" s="45"/>
      <c r="G144" s="45"/>
    </row>
    <row r="145" spans="1:7">
      <c r="A145" s="45"/>
      <c r="B145" s="109" t="s">
        <v>175</v>
      </c>
      <c r="C145" s="45"/>
      <c r="D145" s="75">
        <f>TRUNC(SUM(D140:D144),2)</f>
        <v>3313.86</v>
      </c>
      <c r="E145" s="45"/>
      <c r="F145" s="45"/>
      <c r="G145" s="45"/>
    </row>
    <row r="146" spans="1:7">
      <c r="A146" s="70" t="s">
        <v>55</v>
      </c>
      <c r="B146" s="45" t="s">
        <v>164</v>
      </c>
      <c r="C146" s="45"/>
      <c r="D146" s="75">
        <f>D135</f>
        <v>629.79</v>
      </c>
      <c r="E146" s="45"/>
      <c r="F146" s="45"/>
      <c r="G146" s="45"/>
    </row>
    <row r="147" spans="1:7">
      <c r="A147" s="110"/>
      <c r="B147" s="111" t="s">
        <v>231</v>
      </c>
      <c r="C147" s="110"/>
      <c r="D147" s="112">
        <f>TRUNC((SUM(D140:D144)+D146),2)</f>
        <v>3943.65</v>
      </c>
      <c r="E147" s="45"/>
      <c r="F147" s="45"/>
      <c r="G147" s="45"/>
    </row>
  </sheetData>
  <mergeCells count="33">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A127:D127"/>
    <mergeCell ref="F128:G128"/>
    <mergeCell ref="A138:D138"/>
    <mergeCell ref="A41:B43"/>
    <mergeCell ref="A84:B87"/>
    <mergeCell ref="A120:B125"/>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3:H44"/>
  <sheetViews>
    <sheetView zoomScale="90" zoomScaleNormal="90" topLeftCell="A40" workbookViewId="0">
      <selection activeCell="L21" sqref="L21"/>
    </sheetView>
  </sheetViews>
  <sheetFormatPr defaultColWidth="9.13888888888889" defaultRowHeight="14.4" outlineLevelCol="7"/>
  <cols>
    <col min="2" max="2" width="13.1574074074074" style="22" customWidth="1"/>
    <col min="3" max="3" width="39.3611111111111" customWidth="1"/>
    <col min="4" max="4" width="10.8611111111111" style="23" customWidth="1"/>
    <col min="5" max="5" width="9.71296296296296" customWidth="1"/>
    <col min="6" max="6" width="15.1759259259259" customWidth="1"/>
    <col min="7" max="7" width="13.7037037037037" customWidth="1"/>
    <col min="8" max="8" width="15.3055555555556" customWidth="1"/>
  </cols>
  <sheetData>
    <row r="3" spans="1:8">
      <c r="A3" s="24" t="s">
        <v>234</v>
      </c>
      <c r="B3" s="25"/>
      <c r="C3" s="24"/>
      <c r="D3" s="26"/>
      <c r="E3" s="24"/>
      <c r="F3" s="24"/>
      <c r="G3" s="24"/>
      <c r="H3" s="24"/>
    </row>
    <row r="4" spans="1:8">
      <c r="A4" s="27" t="s">
        <v>235</v>
      </c>
      <c r="B4" s="28"/>
      <c r="C4" s="27"/>
      <c r="D4" s="29"/>
      <c r="E4" s="27"/>
      <c r="F4" s="27"/>
      <c r="G4" s="27"/>
      <c r="H4" s="27"/>
    </row>
    <row r="5" ht="57.6" spans="1:8">
      <c r="A5" s="30" t="s">
        <v>236</v>
      </c>
      <c r="B5" s="30" t="s">
        <v>237</v>
      </c>
      <c r="C5" s="30" t="s">
        <v>238</v>
      </c>
      <c r="D5" s="30" t="s">
        <v>239</v>
      </c>
      <c r="E5" s="30" t="s">
        <v>240</v>
      </c>
      <c r="F5" s="30" t="s">
        <v>241</v>
      </c>
      <c r="G5" s="30" t="s">
        <v>242</v>
      </c>
      <c r="H5" s="30" t="s">
        <v>243</v>
      </c>
    </row>
    <row r="6" ht="82.8" spans="1:8">
      <c r="A6" s="31">
        <v>1</v>
      </c>
      <c r="B6" s="16" t="s">
        <v>244</v>
      </c>
      <c r="C6" s="32" t="s">
        <v>245</v>
      </c>
      <c r="D6" s="16" t="s">
        <v>246</v>
      </c>
      <c r="E6" s="33">
        <v>131.61</v>
      </c>
      <c r="F6" s="16">
        <v>4</v>
      </c>
      <c r="G6" s="34">
        <f>TRUNC(F6*E6,2)</f>
        <v>526.44</v>
      </c>
      <c r="H6" s="34">
        <f>TRUNC(G6/12,2)</f>
        <v>43.87</v>
      </c>
    </row>
    <row r="7" ht="82.8" spans="1:8">
      <c r="A7" s="31">
        <v>2</v>
      </c>
      <c r="B7" s="16" t="s">
        <v>247</v>
      </c>
      <c r="C7" s="32" t="s">
        <v>248</v>
      </c>
      <c r="D7" s="16" t="s">
        <v>246</v>
      </c>
      <c r="E7" s="33">
        <v>138.74</v>
      </c>
      <c r="F7" s="16">
        <v>4</v>
      </c>
      <c r="G7" s="34">
        <f t="shared" ref="G7:G21" si="0">TRUNC(F7*E7,2)</f>
        <v>554.96</v>
      </c>
      <c r="H7" s="34">
        <f t="shared" ref="H7:H21" si="1">TRUNC(G7/12,2)</f>
        <v>46.24</v>
      </c>
    </row>
    <row r="8" ht="57.6" spans="1:8">
      <c r="A8" s="31">
        <v>3</v>
      </c>
      <c r="B8" s="16" t="s">
        <v>247</v>
      </c>
      <c r="C8" s="35" t="s">
        <v>249</v>
      </c>
      <c r="D8" s="16" t="s">
        <v>246</v>
      </c>
      <c r="E8" s="33">
        <v>24.99</v>
      </c>
      <c r="F8" s="16">
        <v>4</v>
      </c>
      <c r="G8" s="34">
        <f t="shared" si="0"/>
        <v>99.96</v>
      </c>
      <c r="H8" s="34">
        <f t="shared" si="1"/>
        <v>8.33</v>
      </c>
    </row>
    <row r="9" ht="41.4" spans="1:8">
      <c r="A9" s="31">
        <v>4</v>
      </c>
      <c r="B9" s="36" t="s">
        <v>250</v>
      </c>
      <c r="C9" s="32" t="s">
        <v>251</v>
      </c>
      <c r="D9" s="16" t="s">
        <v>246</v>
      </c>
      <c r="E9" s="33">
        <v>11.23</v>
      </c>
      <c r="F9" s="16">
        <v>2</v>
      </c>
      <c r="G9" s="34">
        <f t="shared" si="0"/>
        <v>22.46</v>
      </c>
      <c r="H9" s="34">
        <f t="shared" si="1"/>
        <v>1.87</v>
      </c>
    </row>
    <row r="10" ht="82.8" spans="1:8">
      <c r="A10" s="31">
        <v>5</v>
      </c>
      <c r="B10" s="36" t="s">
        <v>252</v>
      </c>
      <c r="C10" s="32" t="s">
        <v>253</v>
      </c>
      <c r="D10" s="16" t="s">
        <v>254</v>
      </c>
      <c r="E10" s="33">
        <v>23.36</v>
      </c>
      <c r="F10" s="16">
        <v>2</v>
      </c>
      <c r="G10" s="34">
        <f t="shared" si="0"/>
        <v>46.72</v>
      </c>
      <c r="H10" s="34">
        <f t="shared" si="1"/>
        <v>3.89</v>
      </c>
    </row>
    <row r="11" ht="96.6" spans="1:8">
      <c r="A11" s="31">
        <v>6</v>
      </c>
      <c r="B11" s="16" t="s">
        <v>255</v>
      </c>
      <c r="C11" s="32" t="s">
        <v>256</v>
      </c>
      <c r="D11" s="16" t="s">
        <v>254</v>
      </c>
      <c r="E11" s="33">
        <v>89.5</v>
      </c>
      <c r="F11" s="16">
        <v>2</v>
      </c>
      <c r="G11" s="34">
        <f t="shared" si="0"/>
        <v>179</v>
      </c>
      <c r="H11" s="34">
        <f t="shared" si="1"/>
        <v>14.91</v>
      </c>
    </row>
    <row r="12" ht="41.4" spans="1:8">
      <c r="A12" s="31">
        <v>7</v>
      </c>
      <c r="B12" s="16" t="s">
        <v>257</v>
      </c>
      <c r="C12" s="32" t="s">
        <v>258</v>
      </c>
      <c r="D12" s="16" t="s">
        <v>254</v>
      </c>
      <c r="E12" s="33">
        <v>8.82</v>
      </c>
      <c r="F12" s="16">
        <v>4</v>
      </c>
      <c r="G12" s="34">
        <f t="shared" si="0"/>
        <v>35.28</v>
      </c>
      <c r="H12" s="34">
        <f t="shared" si="1"/>
        <v>2.94</v>
      </c>
    </row>
    <row r="13" ht="41.4" spans="1:8">
      <c r="A13" s="31">
        <v>8</v>
      </c>
      <c r="B13" s="16" t="s">
        <v>259</v>
      </c>
      <c r="C13" s="32" t="s">
        <v>260</v>
      </c>
      <c r="D13" s="16" t="s">
        <v>246</v>
      </c>
      <c r="E13" s="33">
        <v>5.8</v>
      </c>
      <c r="F13" s="16">
        <v>1</v>
      </c>
      <c r="G13" s="34">
        <f t="shared" si="0"/>
        <v>5.8</v>
      </c>
      <c r="H13" s="34">
        <f t="shared" si="1"/>
        <v>0.48</v>
      </c>
    </row>
    <row r="14" ht="124.2" spans="1:8">
      <c r="A14" s="31">
        <v>9</v>
      </c>
      <c r="B14" s="16" t="s">
        <v>261</v>
      </c>
      <c r="C14" s="32" t="s">
        <v>262</v>
      </c>
      <c r="D14" s="16" t="s">
        <v>246</v>
      </c>
      <c r="E14" s="33">
        <v>16.2</v>
      </c>
      <c r="F14" s="16">
        <v>1</v>
      </c>
      <c r="G14" s="34">
        <f t="shared" si="0"/>
        <v>16.2</v>
      </c>
      <c r="H14" s="34">
        <f t="shared" si="1"/>
        <v>1.35</v>
      </c>
    </row>
    <row r="15" ht="55.2" spans="1:8">
      <c r="A15" s="31">
        <v>10</v>
      </c>
      <c r="B15" s="16" t="s">
        <v>263</v>
      </c>
      <c r="C15" s="32" t="s">
        <v>264</v>
      </c>
      <c r="D15" s="16" t="s">
        <v>265</v>
      </c>
      <c r="E15" s="33">
        <v>222.4</v>
      </c>
      <c r="F15" s="16">
        <v>1</v>
      </c>
      <c r="G15" s="34">
        <f t="shared" si="0"/>
        <v>222.4</v>
      </c>
      <c r="H15" s="34">
        <f t="shared" si="1"/>
        <v>18.53</v>
      </c>
    </row>
    <row r="16" ht="41.4" spans="1:8">
      <c r="A16" s="31">
        <v>11</v>
      </c>
      <c r="B16" s="16" t="s">
        <v>266</v>
      </c>
      <c r="C16" s="32" t="s">
        <v>267</v>
      </c>
      <c r="D16" s="16" t="s">
        <v>254</v>
      </c>
      <c r="E16" s="33">
        <v>497.03</v>
      </c>
      <c r="F16" s="16">
        <v>1</v>
      </c>
      <c r="G16" s="34">
        <f t="shared" si="0"/>
        <v>497.03</v>
      </c>
      <c r="H16" s="34">
        <f t="shared" si="1"/>
        <v>41.41</v>
      </c>
    </row>
    <row r="17" ht="55.2" spans="1:8">
      <c r="A17" s="31">
        <v>12</v>
      </c>
      <c r="B17" s="16" t="s">
        <v>266</v>
      </c>
      <c r="C17" s="32" t="s">
        <v>268</v>
      </c>
      <c r="D17" s="16" t="s">
        <v>254</v>
      </c>
      <c r="E17" s="33">
        <v>3.8</v>
      </c>
      <c r="F17" s="16">
        <v>6</v>
      </c>
      <c r="G17" s="34">
        <f t="shared" si="0"/>
        <v>22.8</v>
      </c>
      <c r="H17" s="34">
        <f t="shared" si="1"/>
        <v>1.9</v>
      </c>
    </row>
    <row r="18" ht="69" spans="1:8">
      <c r="A18" s="31">
        <v>13</v>
      </c>
      <c r="B18" s="16" t="s">
        <v>269</v>
      </c>
      <c r="C18" s="32" t="s">
        <v>270</v>
      </c>
      <c r="D18" s="16" t="s">
        <v>246</v>
      </c>
      <c r="E18" s="33">
        <v>7</v>
      </c>
      <c r="F18" s="16">
        <v>2</v>
      </c>
      <c r="G18" s="34">
        <f t="shared" si="0"/>
        <v>14</v>
      </c>
      <c r="H18" s="34">
        <f t="shared" si="1"/>
        <v>1.16</v>
      </c>
    </row>
    <row r="19" ht="41.4" spans="1:8">
      <c r="A19" s="31">
        <v>14</v>
      </c>
      <c r="B19" s="16" t="s">
        <v>271</v>
      </c>
      <c r="C19" s="32" t="s">
        <v>272</v>
      </c>
      <c r="D19" s="16" t="s">
        <v>246</v>
      </c>
      <c r="E19" s="33">
        <v>1.57</v>
      </c>
      <c r="F19" s="16">
        <v>4</v>
      </c>
      <c r="G19" s="34">
        <f t="shared" si="0"/>
        <v>6.28</v>
      </c>
      <c r="H19" s="34">
        <f t="shared" si="1"/>
        <v>0.52</v>
      </c>
    </row>
    <row r="20" ht="28.8" spans="1:8">
      <c r="A20" s="31">
        <v>15</v>
      </c>
      <c r="B20" s="16" t="s">
        <v>273</v>
      </c>
      <c r="C20" s="32" t="s">
        <v>274</v>
      </c>
      <c r="D20" s="16" t="s">
        <v>246</v>
      </c>
      <c r="E20" s="33">
        <v>28</v>
      </c>
      <c r="F20" s="16">
        <v>4</v>
      </c>
      <c r="G20" s="34">
        <f t="shared" si="0"/>
        <v>112</v>
      </c>
      <c r="H20" s="34">
        <f t="shared" si="1"/>
        <v>9.33</v>
      </c>
    </row>
    <row r="21" ht="96.6" spans="1:8">
      <c r="A21" s="31">
        <v>16</v>
      </c>
      <c r="B21" s="16" t="s">
        <v>275</v>
      </c>
      <c r="C21" s="32" t="s">
        <v>276</v>
      </c>
      <c r="D21" s="16" t="s">
        <v>246</v>
      </c>
      <c r="E21" s="33">
        <v>3.55</v>
      </c>
      <c r="F21" s="16">
        <v>12</v>
      </c>
      <c r="G21" s="34">
        <f t="shared" si="0"/>
        <v>42.6</v>
      </c>
      <c r="H21" s="34">
        <f t="shared" si="1"/>
        <v>3.55</v>
      </c>
    </row>
    <row r="22" spans="1:8">
      <c r="A22" s="18" t="s">
        <v>205</v>
      </c>
      <c r="B22" s="18"/>
      <c r="C22" s="18"/>
      <c r="D22" s="18"/>
      <c r="E22" s="18"/>
      <c r="F22" s="18"/>
      <c r="G22" s="19">
        <f>TRUNC(SUM(H6:H21),2)</f>
        <v>200.28</v>
      </c>
      <c r="H22" s="19"/>
    </row>
    <row r="24" spans="1:8">
      <c r="A24" s="37"/>
      <c r="B24" s="38"/>
      <c r="C24" s="37"/>
      <c r="D24" s="39"/>
      <c r="E24" s="37"/>
      <c r="F24" s="37"/>
      <c r="G24" s="37"/>
      <c r="H24" s="37"/>
    </row>
    <row r="25" spans="1:8">
      <c r="A25" s="40" t="s">
        <v>234</v>
      </c>
      <c r="B25" s="41"/>
      <c r="C25" s="40"/>
      <c r="D25" s="42"/>
      <c r="E25" s="40"/>
      <c r="F25" s="40"/>
      <c r="G25" s="40"/>
      <c r="H25" s="40"/>
    </row>
    <row r="26" spans="1:8">
      <c r="A26" s="27" t="s">
        <v>277</v>
      </c>
      <c r="B26" s="28"/>
      <c r="C26" s="27"/>
      <c r="D26" s="29"/>
      <c r="E26" s="27"/>
      <c r="F26" s="27"/>
      <c r="G26" s="27"/>
      <c r="H26" s="27"/>
    </row>
    <row r="27" ht="57.6" spans="1:8">
      <c r="A27" s="43" t="s">
        <v>236</v>
      </c>
      <c r="B27" s="43" t="s">
        <v>237</v>
      </c>
      <c r="C27" s="43" t="s">
        <v>238</v>
      </c>
      <c r="D27" s="43" t="s">
        <v>239</v>
      </c>
      <c r="E27" s="43" t="s">
        <v>240</v>
      </c>
      <c r="F27" s="43" t="s">
        <v>241</v>
      </c>
      <c r="G27" s="43" t="s">
        <v>242</v>
      </c>
      <c r="H27" s="43" t="s">
        <v>243</v>
      </c>
    </row>
    <row r="28" ht="55.2" spans="1:8">
      <c r="A28" s="31">
        <v>1</v>
      </c>
      <c r="B28" s="16" t="s">
        <v>244</v>
      </c>
      <c r="C28" s="32" t="s">
        <v>278</v>
      </c>
      <c r="D28" s="16" t="s">
        <v>246</v>
      </c>
      <c r="E28" s="33">
        <v>52.53</v>
      </c>
      <c r="F28" s="16">
        <v>4</v>
      </c>
      <c r="G28" s="34">
        <f>TRUNC(F28*E28,2)</f>
        <v>210.12</v>
      </c>
      <c r="H28" s="34">
        <f>TRUNC(G28/12,2)</f>
        <v>17.51</v>
      </c>
    </row>
    <row r="29" ht="55.2" spans="1:8">
      <c r="A29" s="31">
        <v>2</v>
      </c>
      <c r="B29" s="16" t="s">
        <v>247</v>
      </c>
      <c r="C29" s="32" t="s">
        <v>279</v>
      </c>
      <c r="D29" s="16" t="s">
        <v>246</v>
      </c>
      <c r="E29" s="33">
        <v>45.6</v>
      </c>
      <c r="F29" s="16">
        <v>4</v>
      </c>
      <c r="G29" s="34">
        <f t="shared" ref="G29:G42" si="2">TRUNC(F29*E29,2)</f>
        <v>182.4</v>
      </c>
      <c r="H29" s="34">
        <f t="shared" ref="H29:H42" si="3">TRUNC(G29/12,2)</f>
        <v>15.2</v>
      </c>
    </row>
    <row r="30" ht="57.6" spans="1:8">
      <c r="A30" s="31">
        <v>3</v>
      </c>
      <c r="B30" s="16" t="s">
        <v>247</v>
      </c>
      <c r="C30" s="35" t="s">
        <v>249</v>
      </c>
      <c r="D30" s="16" t="s">
        <v>246</v>
      </c>
      <c r="E30" s="33">
        <v>24.99</v>
      </c>
      <c r="F30" s="16">
        <v>4</v>
      </c>
      <c r="G30" s="34">
        <f t="shared" si="2"/>
        <v>99.96</v>
      </c>
      <c r="H30" s="34">
        <f t="shared" si="3"/>
        <v>8.33</v>
      </c>
    </row>
    <row r="31" ht="41.4" spans="1:8">
      <c r="A31" s="31">
        <v>4</v>
      </c>
      <c r="B31" s="36" t="s">
        <v>250</v>
      </c>
      <c r="C31" s="32" t="s">
        <v>251</v>
      </c>
      <c r="D31" s="16" t="s">
        <v>246</v>
      </c>
      <c r="E31" s="33">
        <v>11.23</v>
      </c>
      <c r="F31" s="16">
        <v>2</v>
      </c>
      <c r="G31" s="34">
        <f t="shared" si="2"/>
        <v>22.46</v>
      </c>
      <c r="H31" s="34">
        <f t="shared" si="3"/>
        <v>1.87</v>
      </c>
    </row>
    <row r="32" ht="82.8" spans="1:8">
      <c r="A32" s="31">
        <v>5</v>
      </c>
      <c r="B32" s="36" t="s">
        <v>252</v>
      </c>
      <c r="C32" s="32" t="s">
        <v>253</v>
      </c>
      <c r="D32" s="16" t="s">
        <v>254</v>
      </c>
      <c r="E32" s="33">
        <v>23.36</v>
      </c>
      <c r="F32" s="16">
        <v>2</v>
      </c>
      <c r="G32" s="34">
        <f t="shared" si="2"/>
        <v>46.72</v>
      </c>
      <c r="H32" s="34">
        <f t="shared" si="3"/>
        <v>3.89</v>
      </c>
    </row>
    <row r="33" ht="96.6" spans="1:8">
      <c r="A33" s="31">
        <v>6</v>
      </c>
      <c r="B33" s="16" t="s">
        <v>255</v>
      </c>
      <c r="C33" s="32" t="s">
        <v>256</v>
      </c>
      <c r="D33" s="16" t="s">
        <v>254</v>
      </c>
      <c r="E33" s="33">
        <v>55.76</v>
      </c>
      <c r="F33" s="16">
        <v>2</v>
      </c>
      <c r="G33" s="34">
        <f t="shared" si="2"/>
        <v>111.52</v>
      </c>
      <c r="H33" s="34">
        <f t="shared" si="3"/>
        <v>9.29</v>
      </c>
    </row>
    <row r="34" ht="41.4" spans="1:8">
      <c r="A34" s="31">
        <v>7</v>
      </c>
      <c r="B34" s="16" t="s">
        <v>257</v>
      </c>
      <c r="C34" s="32" t="s">
        <v>258</v>
      </c>
      <c r="D34" s="16" t="s">
        <v>254</v>
      </c>
      <c r="E34" s="33">
        <v>8.82</v>
      </c>
      <c r="F34" s="16">
        <v>4</v>
      </c>
      <c r="G34" s="34">
        <f t="shared" si="2"/>
        <v>35.28</v>
      </c>
      <c r="H34" s="34">
        <f t="shared" si="3"/>
        <v>2.94</v>
      </c>
    </row>
    <row r="35" ht="41.4" spans="1:8">
      <c r="A35" s="31">
        <v>8</v>
      </c>
      <c r="B35" s="16" t="s">
        <v>259</v>
      </c>
      <c r="C35" s="32" t="s">
        <v>260</v>
      </c>
      <c r="D35" s="16" t="s">
        <v>246</v>
      </c>
      <c r="E35" s="33">
        <v>5.8</v>
      </c>
      <c r="F35" s="16">
        <v>1</v>
      </c>
      <c r="G35" s="34">
        <f t="shared" si="2"/>
        <v>5.8</v>
      </c>
      <c r="H35" s="34">
        <f t="shared" si="3"/>
        <v>0.48</v>
      </c>
    </row>
    <row r="36" ht="69" spans="1:8">
      <c r="A36" s="31">
        <v>9</v>
      </c>
      <c r="B36" s="16" t="s">
        <v>261</v>
      </c>
      <c r="C36" s="32" t="s">
        <v>280</v>
      </c>
      <c r="D36" s="16" t="s">
        <v>246</v>
      </c>
      <c r="E36" s="33">
        <v>36.92</v>
      </c>
      <c r="F36" s="16">
        <v>1</v>
      </c>
      <c r="G36" s="34">
        <f t="shared" si="2"/>
        <v>36.92</v>
      </c>
      <c r="H36" s="34">
        <f t="shared" si="3"/>
        <v>3.07</v>
      </c>
    </row>
    <row r="37" ht="55.2" spans="1:8">
      <c r="A37" s="31">
        <v>10</v>
      </c>
      <c r="B37" s="16" t="s">
        <v>263</v>
      </c>
      <c r="C37" s="32" t="s">
        <v>264</v>
      </c>
      <c r="D37" s="16" t="s">
        <v>265</v>
      </c>
      <c r="E37" s="33">
        <v>222.4</v>
      </c>
      <c r="F37" s="16">
        <v>1</v>
      </c>
      <c r="G37" s="34">
        <f t="shared" si="2"/>
        <v>222.4</v>
      </c>
      <c r="H37" s="34">
        <f t="shared" si="3"/>
        <v>18.53</v>
      </c>
    </row>
    <row r="38" ht="55.2" spans="1:8">
      <c r="A38" s="31">
        <v>11</v>
      </c>
      <c r="B38" s="16" t="s">
        <v>266</v>
      </c>
      <c r="C38" s="32" t="s">
        <v>268</v>
      </c>
      <c r="D38" s="16" t="s">
        <v>254</v>
      </c>
      <c r="E38" s="33">
        <v>3.8</v>
      </c>
      <c r="F38" s="16">
        <v>6</v>
      </c>
      <c r="G38" s="34">
        <f t="shared" si="2"/>
        <v>22.8</v>
      </c>
      <c r="H38" s="34">
        <f t="shared" si="3"/>
        <v>1.9</v>
      </c>
    </row>
    <row r="39" ht="69" spans="1:8">
      <c r="A39" s="31">
        <v>12</v>
      </c>
      <c r="B39" s="16" t="s">
        <v>269</v>
      </c>
      <c r="C39" s="32" t="s">
        <v>270</v>
      </c>
      <c r="D39" s="16" t="s">
        <v>246</v>
      </c>
      <c r="E39" s="33">
        <v>7</v>
      </c>
      <c r="F39" s="16">
        <v>2</v>
      </c>
      <c r="G39" s="34">
        <f t="shared" si="2"/>
        <v>14</v>
      </c>
      <c r="H39" s="34">
        <f t="shared" si="3"/>
        <v>1.16</v>
      </c>
    </row>
    <row r="40" ht="41.4" spans="1:8">
      <c r="A40" s="31">
        <v>13</v>
      </c>
      <c r="B40" s="16" t="s">
        <v>271</v>
      </c>
      <c r="C40" s="32" t="s">
        <v>272</v>
      </c>
      <c r="D40" s="16" t="s">
        <v>246</v>
      </c>
      <c r="E40" s="33">
        <v>1.57</v>
      </c>
      <c r="F40" s="16">
        <v>4</v>
      </c>
      <c r="G40" s="34">
        <f t="shared" si="2"/>
        <v>6.28</v>
      </c>
      <c r="H40" s="34">
        <f t="shared" si="3"/>
        <v>0.52</v>
      </c>
    </row>
    <row r="41" ht="28.8" spans="1:8">
      <c r="A41" s="31">
        <v>14</v>
      </c>
      <c r="B41" s="16" t="s">
        <v>273</v>
      </c>
      <c r="C41" s="32" t="s">
        <v>274</v>
      </c>
      <c r="D41" s="16" t="s">
        <v>246</v>
      </c>
      <c r="E41" s="33">
        <v>28</v>
      </c>
      <c r="F41" s="16">
        <v>4</v>
      </c>
      <c r="G41" s="34">
        <f t="shared" si="2"/>
        <v>112</v>
      </c>
      <c r="H41" s="34">
        <f t="shared" si="3"/>
        <v>9.33</v>
      </c>
    </row>
    <row r="42" ht="96.6" spans="1:8">
      <c r="A42" s="31">
        <v>15</v>
      </c>
      <c r="B42" s="16" t="s">
        <v>275</v>
      </c>
      <c r="C42" s="32" t="s">
        <v>276</v>
      </c>
      <c r="D42" s="16" t="s">
        <v>246</v>
      </c>
      <c r="E42" s="33">
        <v>3.55</v>
      </c>
      <c r="F42" s="16">
        <v>12</v>
      </c>
      <c r="G42" s="34">
        <f t="shared" si="2"/>
        <v>42.6</v>
      </c>
      <c r="H42" s="34">
        <f t="shared" si="3"/>
        <v>3.55</v>
      </c>
    </row>
    <row r="43" spans="1:8">
      <c r="A43" s="11" t="s">
        <v>205</v>
      </c>
      <c r="B43" s="11"/>
      <c r="C43" s="11"/>
      <c r="D43" s="11"/>
      <c r="E43" s="11"/>
      <c r="F43" s="11"/>
      <c r="G43" s="44">
        <f>TRUNC(SUM(H28:H42),2)</f>
        <v>97.57</v>
      </c>
      <c r="H43" s="44"/>
    </row>
    <row r="44" spans="1:8">
      <c r="A44" s="37"/>
      <c r="B44" s="38"/>
      <c r="C44" s="37"/>
      <c r="D44" s="39"/>
      <c r="E44" s="37"/>
      <c r="F44" s="37"/>
      <c r="G44" s="37"/>
      <c r="H44" s="37"/>
    </row>
  </sheetData>
  <mergeCells count="8">
    <mergeCell ref="A3:H3"/>
    <mergeCell ref="A4:H4"/>
    <mergeCell ref="A22:F22"/>
    <mergeCell ref="G22:H22"/>
    <mergeCell ref="A25:H25"/>
    <mergeCell ref="A26:H26"/>
    <mergeCell ref="A43:F43"/>
    <mergeCell ref="G43:H43"/>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E21" sqref="E21:F21"/>
    </sheetView>
  </sheetViews>
  <sheetFormatPr defaultColWidth="8.88888888888889" defaultRowHeight="14.4" outlineLevelCol="5"/>
  <cols>
    <col min="1" max="1" width="13.4444444444444" customWidth="1"/>
    <col min="2" max="2" width="32.7777777777778" customWidth="1"/>
    <col min="3" max="3" width="15.8888888888889" customWidth="1"/>
    <col min="4" max="4" width="17.1111111111111" customWidth="1"/>
    <col min="5" max="5" width="12.8888888888889" customWidth="1"/>
    <col min="6" max="6" width="10.3333333333333" customWidth="1"/>
  </cols>
  <sheetData>
    <row r="1" spans="1:6">
      <c r="A1" s="11" t="s">
        <v>281</v>
      </c>
      <c r="B1" s="11"/>
      <c r="C1" s="11"/>
      <c r="D1" s="11"/>
      <c r="E1" s="11"/>
      <c r="F1" s="11"/>
    </row>
    <row r="2" spans="1:6">
      <c r="A2" s="12" t="s">
        <v>236</v>
      </c>
      <c r="B2" s="12" t="s">
        <v>238</v>
      </c>
      <c r="C2" s="12" t="s">
        <v>239</v>
      </c>
      <c r="D2" s="12" t="s">
        <v>241</v>
      </c>
      <c r="E2" s="12" t="s">
        <v>282</v>
      </c>
      <c r="F2" s="12" t="s">
        <v>283</v>
      </c>
    </row>
    <row r="3" spans="1:6">
      <c r="A3" s="12"/>
      <c r="B3" s="12"/>
      <c r="C3" s="12"/>
      <c r="D3" s="12"/>
      <c r="E3" s="12"/>
      <c r="F3" s="12"/>
    </row>
    <row r="4" spans="1:6">
      <c r="A4" s="12"/>
      <c r="B4" s="12"/>
      <c r="C4" s="12"/>
      <c r="D4" s="12"/>
      <c r="E4" s="12"/>
      <c r="F4" s="12"/>
    </row>
    <row r="5" spans="1:4">
      <c r="A5" s="13">
        <v>1</v>
      </c>
      <c r="B5" s="14" t="s">
        <v>284</v>
      </c>
      <c r="C5" s="14"/>
      <c r="D5" s="14"/>
    </row>
    <row r="6" ht="28.8" spans="1:6">
      <c r="A6" s="13"/>
      <c r="B6" s="15" t="s">
        <v>285</v>
      </c>
      <c r="C6" s="16" t="s">
        <v>246</v>
      </c>
      <c r="D6" s="16">
        <v>1</v>
      </c>
      <c r="E6" s="17">
        <v>32.87</v>
      </c>
      <c r="F6" s="17">
        <f t="shared" ref="F6:F18" si="0">TRUNC(E6*D6,2)</f>
        <v>32.87</v>
      </c>
    </row>
    <row r="7" spans="1:6">
      <c r="A7" s="13"/>
      <c r="B7" s="15" t="s">
        <v>286</v>
      </c>
      <c r="C7" s="16" t="s">
        <v>246</v>
      </c>
      <c r="D7" s="16">
        <v>1</v>
      </c>
      <c r="E7" s="17">
        <v>14.55</v>
      </c>
      <c r="F7" s="17">
        <f t="shared" si="0"/>
        <v>14.55</v>
      </c>
    </row>
    <row r="8" ht="28.8" spans="1:6">
      <c r="A8" s="13"/>
      <c r="B8" s="15" t="s">
        <v>287</v>
      </c>
      <c r="C8" s="16" t="s">
        <v>288</v>
      </c>
      <c r="D8" s="16">
        <v>1</v>
      </c>
      <c r="E8" s="17">
        <v>73.39</v>
      </c>
      <c r="F8" s="17">
        <f t="shared" si="0"/>
        <v>73.39</v>
      </c>
    </row>
    <row r="9" ht="28.8" spans="1:6">
      <c r="A9" s="13"/>
      <c r="B9" s="15" t="s">
        <v>289</v>
      </c>
      <c r="C9" s="16" t="s">
        <v>288</v>
      </c>
      <c r="D9" s="16">
        <v>1</v>
      </c>
      <c r="E9" s="17">
        <v>17.89</v>
      </c>
      <c r="F9" s="17">
        <f t="shared" si="0"/>
        <v>17.89</v>
      </c>
    </row>
    <row r="10" spans="1:6">
      <c r="A10" s="13"/>
      <c r="B10" s="15" t="s">
        <v>290</v>
      </c>
      <c r="C10" s="16" t="s">
        <v>291</v>
      </c>
      <c r="D10" s="16">
        <v>10</v>
      </c>
      <c r="E10" s="17">
        <v>1.5</v>
      </c>
      <c r="F10" s="17">
        <f t="shared" si="0"/>
        <v>15</v>
      </c>
    </row>
    <row r="11" spans="1:6">
      <c r="A11" s="13"/>
      <c r="B11" s="15" t="s">
        <v>292</v>
      </c>
      <c r="C11" s="16" t="s">
        <v>293</v>
      </c>
      <c r="D11" s="16">
        <v>2</v>
      </c>
      <c r="E11" s="17">
        <v>9.44</v>
      </c>
      <c r="F11" s="17">
        <f t="shared" si="0"/>
        <v>18.88</v>
      </c>
    </row>
    <row r="12" spans="1:6">
      <c r="A12" s="13"/>
      <c r="B12" s="15" t="s">
        <v>294</v>
      </c>
      <c r="C12" s="16" t="s">
        <v>293</v>
      </c>
      <c r="D12" s="16">
        <v>5</v>
      </c>
      <c r="E12" s="17">
        <v>0.81</v>
      </c>
      <c r="F12" s="17">
        <f t="shared" si="0"/>
        <v>4.05</v>
      </c>
    </row>
    <row r="13" spans="1:6">
      <c r="A13" s="13"/>
      <c r="B13" s="15" t="s">
        <v>295</v>
      </c>
      <c r="C13" s="16" t="s">
        <v>296</v>
      </c>
      <c r="D13" s="16">
        <v>2</v>
      </c>
      <c r="E13" s="17">
        <v>3.4</v>
      </c>
      <c r="F13" s="17">
        <f t="shared" si="0"/>
        <v>6.8</v>
      </c>
    </row>
    <row r="14" spans="1:6">
      <c r="A14" s="13"/>
      <c r="B14" s="15" t="s">
        <v>297</v>
      </c>
      <c r="C14" s="16" t="s">
        <v>296</v>
      </c>
      <c r="D14" s="16">
        <v>2</v>
      </c>
      <c r="E14" s="17">
        <v>3.35</v>
      </c>
      <c r="F14" s="17">
        <f t="shared" si="0"/>
        <v>6.7</v>
      </c>
    </row>
    <row r="15" ht="43.2" spans="1:6">
      <c r="A15" s="16">
        <v>2</v>
      </c>
      <c r="B15" s="15" t="s">
        <v>298</v>
      </c>
      <c r="C15" s="16" t="s">
        <v>293</v>
      </c>
      <c r="D15" s="16">
        <v>1</v>
      </c>
      <c r="E15" s="17">
        <v>356</v>
      </c>
      <c r="F15" s="17">
        <f t="shared" si="0"/>
        <v>356</v>
      </c>
    </row>
    <row r="16" ht="28.8" spans="1:6">
      <c r="A16" s="16">
        <v>3</v>
      </c>
      <c r="B16" s="15" t="s">
        <v>299</v>
      </c>
      <c r="C16" s="16" t="s">
        <v>254</v>
      </c>
      <c r="D16" s="16">
        <v>1</v>
      </c>
      <c r="E16" s="17">
        <v>887.88</v>
      </c>
      <c r="F16" s="17">
        <f t="shared" si="0"/>
        <v>887.88</v>
      </c>
    </row>
    <row r="17" ht="28.8" spans="1:6">
      <c r="A17" s="16">
        <v>4</v>
      </c>
      <c r="B17" s="15" t="s">
        <v>300</v>
      </c>
      <c r="C17" s="16" t="s">
        <v>246</v>
      </c>
      <c r="D17" s="16">
        <v>3</v>
      </c>
      <c r="E17" s="17">
        <v>21.55</v>
      </c>
      <c r="F17" s="17">
        <f t="shared" si="0"/>
        <v>64.65</v>
      </c>
    </row>
    <row r="18" ht="28.8" spans="1:6">
      <c r="A18" s="16">
        <v>5</v>
      </c>
      <c r="B18" s="15" t="s">
        <v>301</v>
      </c>
      <c r="C18" s="16" t="s">
        <v>246</v>
      </c>
      <c r="D18" s="16">
        <v>6</v>
      </c>
      <c r="E18" s="17">
        <v>37.5</v>
      </c>
      <c r="F18" s="17">
        <f t="shared" si="0"/>
        <v>225</v>
      </c>
    </row>
    <row r="19" spans="1:6">
      <c r="A19" s="18" t="s">
        <v>283</v>
      </c>
      <c r="B19" s="18"/>
      <c r="C19" s="18"/>
      <c r="D19" s="18"/>
      <c r="E19" s="19">
        <f>TRUNC(SUM(F6:F18),2)</f>
        <v>1723.66</v>
      </c>
      <c r="F19" s="19"/>
    </row>
    <row r="20" spans="1:6">
      <c r="A20" s="11" t="s">
        <v>302</v>
      </c>
      <c r="B20" s="11"/>
      <c r="C20" s="11"/>
      <c r="D20" s="11"/>
      <c r="E20" s="20">
        <v>2</v>
      </c>
      <c r="F20" s="20"/>
    </row>
    <row r="21" spans="1:6">
      <c r="A21" s="11" t="s">
        <v>303</v>
      </c>
      <c r="B21" s="11"/>
      <c r="C21" s="11"/>
      <c r="D21" s="11"/>
      <c r="E21" s="21">
        <f>TRUNC((E19/E20)/12,2)</f>
        <v>71.81</v>
      </c>
      <c r="F21" s="21"/>
    </row>
  </sheetData>
  <mergeCells count="15">
    <mergeCell ref="A1:F1"/>
    <mergeCell ref="B5:D5"/>
    <mergeCell ref="A19:D19"/>
    <mergeCell ref="E19:F19"/>
    <mergeCell ref="A20:D20"/>
    <mergeCell ref="E20:F20"/>
    <mergeCell ref="A21:D21"/>
    <mergeCell ref="E21:F21"/>
    <mergeCell ref="A2:A4"/>
    <mergeCell ref="A5:A14"/>
    <mergeCell ref="B2:B4"/>
    <mergeCell ref="C2:C4"/>
    <mergeCell ref="D2:D4"/>
    <mergeCell ref="E2:E4"/>
    <mergeCell ref="F2:F4"/>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
  <sheetViews>
    <sheetView tabSelected="1" workbookViewId="0">
      <selection activeCell="F11" sqref="F11"/>
    </sheetView>
  </sheetViews>
  <sheetFormatPr defaultColWidth="8.88888888888889" defaultRowHeight="14.4" outlineLevelRow="7" outlineLevelCol="6"/>
  <cols>
    <col min="2" max="2" width="31" customWidth="1"/>
    <col min="3" max="3" width="9.33333333333333" customWidth="1"/>
    <col min="4" max="4" width="14.2222222222222" customWidth="1"/>
    <col min="5" max="5" width="13.3333333333333" customWidth="1"/>
    <col min="6" max="6" width="14.8888888888889" customWidth="1"/>
    <col min="7" max="7" width="15" customWidth="1"/>
  </cols>
  <sheetData>
    <row r="1" ht="15.15" spans="1:7">
      <c r="A1" s="1" t="s">
        <v>304</v>
      </c>
      <c r="B1" s="2"/>
      <c r="C1" s="2"/>
      <c r="D1" s="2"/>
      <c r="E1" s="2"/>
      <c r="F1" s="2"/>
      <c r="G1" s="3"/>
    </row>
    <row r="2" ht="58.35" spans="1:7">
      <c r="A2" s="4" t="s">
        <v>16</v>
      </c>
      <c r="B2" s="4" t="s">
        <v>17</v>
      </c>
      <c r="C2" s="4" t="s">
        <v>246</v>
      </c>
      <c r="D2" s="4" t="s">
        <v>305</v>
      </c>
      <c r="E2" s="4" t="s">
        <v>306</v>
      </c>
      <c r="F2" s="4" t="s">
        <v>307</v>
      </c>
      <c r="G2" s="4" t="s">
        <v>308</v>
      </c>
    </row>
    <row r="3" ht="72" spans="1:7">
      <c r="A3" s="5">
        <v>1</v>
      </c>
      <c r="B3" s="6" t="s">
        <v>309</v>
      </c>
      <c r="C3" s="4" t="s">
        <v>310</v>
      </c>
      <c r="D3" s="5">
        <v>1</v>
      </c>
      <c r="E3" s="5">
        <v>12</v>
      </c>
      <c r="F3" s="7">
        <f>Eletricista!D147</f>
        <v>5035.83</v>
      </c>
      <c r="G3" s="7">
        <f>(D3*F3)*(E3)</f>
        <v>60429.96</v>
      </c>
    </row>
    <row r="4" ht="86.4" spans="1:7">
      <c r="A4" s="5">
        <v>2</v>
      </c>
      <c r="B4" s="6" t="s">
        <v>311</v>
      </c>
      <c r="C4" s="4" t="s">
        <v>310</v>
      </c>
      <c r="D4" s="5">
        <v>1</v>
      </c>
      <c r="E4" s="5">
        <v>12</v>
      </c>
      <c r="F4" s="7">
        <f>'Técnico Mecânico Refrigeração'!D147</f>
        <v>3943.65</v>
      </c>
      <c r="G4" s="7">
        <f>(D4*F4)*(E4)</f>
        <v>47323.8</v>
      </c>
    </row>
    <row r="5" spans="1:7">
      <c r="A5" s="8" t="s">
        <v>205</v>
      </c>
      <c r="B5" s="8"/>
      <c r="C5" s="8"/>
      <c r="D5" s="8"/>
      <c r="E5" s="8"/>
      <c r="F5" s="8"/>
      <c r="G5" s="9">
        <f>SUM(G3:G4)</f>
        <v>107753.76</v>
      </c>
    </row>
    <row r="6" spans="1:7">
      <c r="A6" s="10"/>
      <c r="B6" s="10"/>
      <c r="C6" s="10"/>
      <c r="D6" s="10"/>
      <c r="E6" s="10"/>
      <c r="F6" s="10"/>
      <c r="G6" s="10"/>
    </row>
    <row r="7" spans="1:7">
      <c r="A7" s="8"/>
      <c r="B7" s="8"/>
      <c r="C7" s="8"/>
      <c r="D7" s="8"/>
      <c r="E7" s="8"/>
      <c r="F7" s="8"/>
      <c r="G7" s="8"/>
    </row>
    <row r="8" spans="1:7">
      <c r="A8" s="8"/>
      <c r="B8" s="8"/>
      <c r="C8" s="8"/>
      <c r="D8" s="8"/>
      <c r="E8" s="8"/>
      <c r="F8" s="8"/>
      <c r="G8" s="8"/>
    </row>
  </sheetData>
  <mergeCells count="1">
    <mergeCell ref="A1:G1"/>
  </mergeCells>
  <pageMargins left="0.75" right="0.75" top="1" bottom="1" header="0.5" footer="0.5"/>
  <pageSetup paperSize="9" orientation="landscape"/>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LibreOffice/6.1.5.2$Windows_X86_64 LibreOffice_project/90f8dcf33c87b3705e78202e3df5142b201bd805</Application>
  <HeadingPairs>
    <vt:vector size="2" baseType="variant">
      <vt:variant>
        <vt:lpstr>工作表</vt:lpstr>
      </vt:variant>
      <vt:variant>
        <vt:i4>7</vt:i4>
      </vt:variant>
    </vt:vector>
  </HeadingPairs>
  <TitlesOfParts>
    <vt:vector size="7" baseType="lpstr">
      <vt:lpstr>Orientações</vt:lpstr>
      <vt:lpstr>Servente</vt:lpstr>
      <vt:lpstr>Eletricista</vt:lpstr>
      <vt:lpstr>Técnico Mecânico Refrigeração</vt:lpstr>
      <vt:lpstr>Uniformes</vt:lpstr>
      <vt:lpstr>EPC</vt:lpstr>
      <vt:lpstr>RESUMO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rayan</cp:lastModifiedBy>
  <cp:revision>3</cp:revision>
  <dcterms:created xsi:type="dcterms:W3CDTF">2019-02-19T21:25:00Z</dcterms:created>
  <cp:lastPrinted>2020-02-20T19:26:00Z</cp:lastPrinted>
  <dcterms:modified xsi:type="dcterms:W3CDTF">2021-07-26T19:15:18Z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KSOProductBuildVer">
    <vt:lpwstr>1046-11.2.0.10223</vt:lpwstr>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